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cdf.sharepoint.com/sites/SELIC/Shared Documents/General/compras/Editais/Pregão/2025/"/>
    </mc:Choice>
  </mc:AlternateContent>
  <xr:revisionPtr revIDLastSave="0" documentId="14_{E24AF9E8-42C5-4DF1-9171-9818662D6CE8}" xr6:coauthVersionLast="47" xr6:coauthVersionMax="47" xr10:uidLastSave="{00000000-0000-0000-0000-000000000000}"/>
  <bookViews>
    <workbookView xWindow="-120" yWindow="-120" windowWidth="29040" windowHeight="15840" firstSheet="7" activeTab="9" xr2:uid="{00000000-000D-0000-FFFF-FFFF00000000}"/>
  </bookViews>
  <sheets>
    <sheet name="Comparativo" sheetId="27" r:id="rId1"/>
    <sheet name="Descrição" sheetId="40" r:id="rId2"/>
    <sheet name="Linhas-Empresas-Tarifas" sheetId="38" r:id="rId3"/>
    <sheet name="Escala_enfermeiro_2025" sheetId="35" r:id="rId4"/>
    <sheet name="Encargos Sociais_2025" sheetId="39" r:id="rId5"/>
    <sheet name="Custo_Direito_Uniforme" sheetId="22" r:id="rId6"/>
    <sheet name="Enfermeiro_2025" sheetId="41" r:id="rId7"/>
    <sheet name="Enfermeiro_Sob Demanda" sheetId="45" r:id="rId8"/>
    <sheet name="Conta Vinculada" sheetId="28" r:id="rId9"/>
    <sheet name="RESUMO_Preços _2025" sheetId="42" r:id="rId10"/>
    <sheet name="RES_e_CA_Preços_Lucro_Presumido" sheetId="43" r:id="rId11"/>
    <sheet name="IMR" sheetId="29" r:id="rId12"/>
    <sheet name="PIS_E_Cofins_em_Branco " sheetId="44" r:id="rId13"/>
    <sheet name="Mod__Uniforme " sheetId="46" r:id="rId14"/>
    <sheet name="Mod_Enfermeiro" sheetId="47" r:id="rId15"/>
    <sheet name="Mod_Enfermeiro_Sob Demanda" sheetId="48" r:id="rId16"/>
    <sheet name="Mod_RESUMO_Preços _2025" sheetId="49" r:id="rId17"/>
    <sheet name="PIS e COFINS_conf" sheetId="26" state="hidden" r:id="rId18"/>
  </sheets>
  <definedNames>
    <definedName name="_xlnm._FilterDatabase" localSheetId="2" hidden="1">'Linhas-Empresas-Tarifas'!$A$9:$M$531</definedName>
    <definedName name="AGENTE_D_VAZIA" localSheetId="8">#REF!</definedName>
    <definedName name="AGENTE_D_VAZIA" localSheetId="5">#REF!</definedName>
    <definedName name="AGENTE_D_VAZIA" localSheetId="4">#REF!</definedName>
    <definedName name="AGENTE_D_VAZIA" localSheetId="6">#REF!</definedName>
    <definedName name="AGENTE_D_VAZIA" localSheetId="7">#REF!</definedName>
    <definedName name="AGENTE_D_VAZIA" localSheetId="3">#REF!</definedName>
    <definedName name="AGENTE_D_VAZIA" localSheetId="11">#REF!</definedName>
    <definedName name="AGENTE_D_VAZIA" localSheetId="13">#REF!</definedName>
    <definedName name="AGENTE_D_VAZIA" localSheetId="14">#REF!</definedName>
    <definedName name="AGENTE_D_VAZIA" localSheetId="15">#REF!</definedName>
    <definedName name="AGENTE_D_VAZIA" localSheetId="16">#REF!</definedName>
    <definedName name="AGENTE_D_VAZIA" localSheetId="17">#REF!</definedName>
    <definedName name="AGENTE_D_VAZIA" localSheetId="12">#REF!</definedName>
    <definedName name="AGENTE_D_VAZIA" localSheetId="10">#REF!</definedName>
    <definedName name="AGENTE_D_VAZIA" localSheetId="9">#REF!</definedName>
    <definedName name="AGENTE_D_VAZIA">#REF!</definedName>
    <definedName name="_xlnm.Print_Area" localSheetId="0">Comparativo!$B$5:$K$13</definedName>
    <definedName name="_xlnm.Print_Area" localSheetId="5">Custo_Direito_Uniforme!$H$9:$S$12</definedName>
    <definedName name="_xlnm.Print_Area" localSheetId="4">'Encargos Sociais_2025'!$B$2:$W$108</definedName>
    <definedName name="_xlnm.Print_Area" localSheetId="6">Enfermeiro_2025!$B$2:$E$82</definedName>
    <definedName name="_xlnm.Print_Area" localSheetId="7">'Enfermeiro_Sob Demanda'!$B$2:$E$82</definedName>
    <definedName name="_xlnm.Print_Area" localSheetId="3">Escala_enfermeiro_2025!$B$7:$K$17</definedName>
    <definedName name="_xlnm.Print_Area" localSheetId="13">'Mod__Uniforme '!$B$8:$E$11</definedName>
    <definedName name="_xlnm.Print_Area" localSheetId="14">Mod_Enfermeiro!$B$2:$E$82</definedName>
    <definedName name="_xlnm.Print_Area" localSheetId="15">'Mod_Enfermeiro_Sob Demanda'!$B$2:$E$82</definedName>
    <definedName name="_xlnm.Print_Area" localSheetId="16">'Mod_RESUMO_Preços _2025'!$B$3:$G$25</definedName>
    <definedName name="_xlnm.Print_Area" localSheetId="17">'PIS e COFINS_conf'!$G$4:$AB$19</definedName>
    <definedName name="_xlnm.Print_Area" localSheetId="12">'PIS_E_Cofins_em_Branco '!$F$4:$Z$19</definedName>
    <definedName name="_xlnm.Print_Area" localSheetId="10">RES_e_CA_Preços_Lucro_Presumido!$B$3:$G$25</definedName>
    <definedName name="_xlnm.Print_Area" localSheetId="9">'RESUMO_Preços _2025'!$B$3:$G$25</definedName>
    <definedName name="asdasd" localSheetId="4">#REF!</definedName>
    <definedName name="asdasd" localSheetId="6">#REF!</definedName>
    <definedName name="asdasd" localSheetId="7">#REF!</definedName>
    <definedName name="asdasd" localSheetId="14">#REF!</definedName>
    <definedName name="asdasd" localSheetId="15">#REF!</definedName>
    <definedName name="asdasd" localSheetId="17">#REF!</definedName>
    <definedName name="asdasd">#REF!</definedName>
    <definedName name="asdasdas" localSheetId="4">#REF!</definedName>
    <definedName name="asdasdas" localSheetId="6">#REF!</definedName>
    <definedName name="asdasdas" localSheetId="7">#REF!</definedName>
    <definedName name="asdasdas" localSheetId="14">#REF!</definedName>
    <definedName name="asdasdas" localSheetId="15">#REF!</definedName>
    <definedName name="asdasdas">#REF!</definedName>
    <definedName name="CPMF" localSheetId="6">#REF!</definedName>
    <definedName name="CPMF" localSheetId="7">#REF!</definedName>
    <definedName name="CPMF" localSheetId="14">#REF!</definedName>
    <definedName name="CPMF" localSheetId="15">#REF!</definedName>
    <definedName name="CPMF">#REF!</definedName>
    <definedName name="dedede" localSheetId="8">#REF!</definedName>
    <definedName name="dedede" localSheetId="5">#REF!</definedName>
    <definedName name="dedede" localSheetId="4">#REF!</definedName>
    <definedName name="dedede" localSheetId="6">#REF!</definedName>
    <definedName name="dedede" localSheetId="7">#REF!</definedName>
    <definedName name="dedede" localSheetId="3">#REF!</definedName>
    <definedName name="dedede" localSheetId="11">#REF!</definedName>
    <definedName name="dedede" localSheetId="13">#REF!</definedName>
    <definedName name="dedede" localSheetId="14">#REF!</definedName>
    <definedName name="dedede" localSheetId="15">#REF!</definedName>
    <definedName name="dedede" localSheetId="16">#REF!</definedName>
    <definedName name="dedede" localSheetId="17">#REF!</definedName>
    <definedName name="dedede" localSheetId="12">#REF!</definedName>
    <definedName name="dedede" localSheetId="10">#REF!</definedName>
    <definedName name="dedede" localSheetId="9">#REF!</definedName>
    <definedName name="dedede">#REF!</definedName>
    <definedName name="dia" localSheetId="8">#REF!</definedName>
    <definedName name="dia" localSheetId="5">#REF!</definedName>
    <definedName name="dia" localSheetId="4">#REF!</definedName>
    <definedName name="dia" localSheetId="6">#REF!</definedName>
    <definedName name="dia" localSheetId="7">#REF!</definedName>
    <definedName name="dia" localSheetId="3">#REF!</definedName>
    <definedName name="dia" localSheetId="11">#REF!</definedName>
    <definedName name="dia" localSheetId="13">#REF!</definedName>
    <definedName name="dia" localSheetId="14">#REF!</definedName>
    <definedName name="dia" localSheetId="15">#REF!</definedName>
    <definedName name="dia" localSheetId="16">#REF!</definedName>
    <definedName name="dia" localSheetId="17">#REF!</definedName>
    <definedName name="dia" localSheetId="12">#REF!</definedName>
    <definedName name="dia" localSheetId="10">#REF!</definedName>
    <definedName name="dia" localSheetId="9">#REF!</definedName>
    <definedName name="dia">#REF!</definedName>
    <definedName name="Encarregado_Novo" localSheetId="4">#REF!</definedName>
    <definedName name="Encarregado_Novo" localSheetId="6">#REF!</definedName>
    <definedName name="Encarregado_Novo" localSheetId="7">#REF!</definedName>
    <definedName name="Encarregado_Novo" localSheetId="14">#REF!</definedName>
    <definedName name="Encarregado_Novo" localSheetId="15">#REF!</definedName>
    <definedName name="Encarregado_Novo">#REF!</definedName>
    <definedName name="Escala_Oficial" localSheetId="8">#REF!</definedName>
    <definedName name="Escala_Oficial" localSheetId="5">#REF!</definedName>
    <definedName name="Escala_Oficial" localSheetId="4">#REF!</definedName>
    <definedName name="Escala_Oficial" localSheetId="6">#REF!</definedName>
    <definedName name="Escala_Oficial" localSheetId="7">#REF!</definedName>
    <definedName name="Escala_Oficial" localSheetId="3">#REF!</definedName>
    <definedName name="Escala_Oficial" localSheetId="11">#REF!</definedName>
    <definedName name="Escala_Oficial" localSheetId="13">#REF!</definedName>
    <definedName name="Escala_Oficial" localSheetId="14">#REF!</definedName>
    <definedName name="Escala_Oficial" localSheetId="15">#REF!</definedName>
    <definedName name="Escala_Oficial" localSheetId="16">#REF!</definedName>
    <definedName name="Escala_Oficial" localSheetId="17">#REF!</definedName>
    <definedName name="Escala_Oficial" localSheetId="12">#REF!</definedName>
    <definedName name="Escala_Oficial" localSheetId="10">#REF!</definedName>
    <definedName name="Escala_Oficial" localSheetId="9">#REF!</definedName>
    <definedName name="Escala_Oficial">#REF!</definedName>
    <definedName name="Excel_BuiltIn_Print_Area_1" localSheetId="8">#REF!</definedName>
    <definedName name="Excel_BuiltIn_Print_Area_1" localSheetId="5">#REF!</definedName>
    <definedName name="Excel_BuiltIn_Print_Area_1" localSheetId="4">#REF!</definedName>
    <definedName name="Excel_BuiltIn_Print_Area_1" localSheetId="6">#REF!</definedName>
    <definedName name="Excel_BuiltIn_Print_Area_1" localSheetId="7">#REF!</definedName>
    <definedName name="Excel_BuiltIn_Print_Area_1" localSheetId="3">#REF!</definedName>
    <definedName name="Excel_BuiltIn_Print_Area_1" localSheetId="11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17">#REF!</definedName>
    <definedName name="Excel_BuiltIn_Print_Area_1" localSheetId="12">#REF!</definedName>
    <definedName name="Excel_BuiltIn_Print_Area_1" localSheetId="10">#REF!</definedName>
    <definedName name="Excel_BuiltIn_Print_Area_1" localSheetId="9">#REF!</definedName>
    <definedName name="Excel_BuiltIn_Print_Area_1">#REF!</definedName>
    <definedName name="Excel_BuiltIn_Print_Area_1_1" localSheetId="8">#REF!</definedName>
    <definedName name="Excel_BuiltIn_Print_Area_1_1" localSheetId="5">#REF!</definedName>
    <definedName name="Excel_BuiltIn_Print_Area_1_1" localSheetId="4">#REF!</definedName>
    <definedName name="Excel_BuiltIn_Print_Area_1_1" localSheetId="6">#REF!</definedName>
    <definedName name="Excel_BuiltIn_Print_Area_1_1" localSheetId="7">#REF!</definedName>
    <definedName name="Excel_BuiltIn_Print_Area_1_1" localSheetId="3">#REF!</definedName>
    <definedName name="Excel_BuiltIn_Print_Area_1_1" localSheetId="11">#REF!</definedName>
    <definedName name="Excel_BuiltIn_Print_Area_1_1" localSheetId="13">#REF!</definedName>
    <definedName name="Excel_BuiltIn_Print_Area_1_1" localSheetId="14">#REF!</definedName>
    <definedName name="Excel_BuiltIn_Print_Area_1_1" localSheetId="15">#REF!</definedName>
    <definedName name="Excel_BuiltIn_Print_Area_1_1" localSheetId="16">#REF!</definedName>
    <definedName name="Excel_BuiltIn_Print_Area_1_1" localSheetId="17">#REF!</definedName>
    <definedName name="Excel_BuiltIn_Print_Area_1_1" localSheetId="12">#REF!</definedName>
    <definedName name="Excel_BuiltIn_Print_Area_1_1" localSheetId="10">#REF!</definedName>
    <definedName name="Excel_BuiltIn_Print_Area_1_1" localSheetId="9">#REF!</definedName>
    <definedName name="Excel_BuiltIn_Print_Area_1_1">#REF!</definedName>
    <definedName name="Excel_BuiltIn_Print_Area_1_1_1" localSheetId="8">#REF!</definedName>
    <definedName name="Excel_BuiltIn_Print_Area_1_1_1" localSheetId="5">#REF!</definedName>
    <definedName name="Excel_BuiltIn_Print_Area_1_1_1" localSheetId="4">#REF!</definedName>
    <definedName name="Excel_BuiltIn_Print_Area_1_1_1" localSheetId="6">#REF!</definedName>
    <definedName name="Excel_BuiltIn_Print_Area_1_1_1" localSheetId="7">#REF!</definedName>
    <definedName name="Excel_BuiltIn_Print_Area_1_1_1" localSheetId="3">#REF!</definedName>
    <definedName name="Excel_BuiltIn_Print_Area_1_1_1" localSheetId="11">#REF!</definedName>
    <definedName name="Excel_BuiltIn_Print_Area_1_1_1" localSheetId="13">#REF!</definedName>
    <definedName name="Excel_BuiltIn_Print_Area_1_1_1" localSheetId="14">#REF!</definedName>
    <definedName name="Excel_BuiltIn_Print_Area_1_1_1" localSheetId="15">#REF!</definedName>
    <definedName name="Excel_BuiltIn_Print_Area_1_1_1" localSheetId="16">#REF!</definedName>
    <definedName name="Excel_BuiltIn_Print_Area_1_1_1" localSheetId="17">#REF!</definedName>
    <definedName name="Excel_BuiltIn_Print_Area_1_1_1" localSheetId="12">#REF!</definedName>
    <definedName name="Excel_BuiltIn_Print_Area_1_1_1" localSheetId="10">#REF!</definedName>
    <definedName name="Excel_BuiltIn_Print_Area_1_1_1" localSheetId="9">#REF!</definedName>
    <definedName name="Excel_BuiltIn_Print_Area_1_1_1">#REF!</definedName>
    <definedName name="Excel_BuiltIn_Print_Area_1_1_1_1" localSheetId="8">#REF!</definedName>
    <definedName name="Excel_BuiltIn_Print_Area_1_1_1_1" localSheetId="5">#REF!</definedName>
    <definedName name="Excel_BuiltIn_Print_Area_1_1_1_1" localSheetId="4">#REF!</definedName>
    <definedName name="Excel_BuiltIn_Print_Area_1_1_1_1" localSheetId="6">#REF!</definedName>
    <definedName name="Excel_BuiltIn_Print_Area_1_1_1_1" localSheetId="7">#REF!</definedName>
    <definedName name="Excel_BuiltIn_Print_Area_1_1_1_1" localSheetId="3">#REF!</definedName>
    <definedName name="Excel_BuiltIn_Print_Area_1_1_1_1" localSheetId="11">#REF!</definedName>
    <definedName name="Excel_BuiltIn_Print_Area_1_1_1_1" localSheetId="13">#REF!</definedName>
    <definedName name="Excel_BuiltIn_Print_Area_1_1_1_1" localSheetId="14">#REF!</definedName>
    <definedName name="Excel_BuiltIn_Print_Area_1_1_1_1" localSheetId="15">#REF!</definedName>
    <definedName name="Excel_BuiltIn_Print_Area_1_1_1_1" localSheetId="16">#REF!</definedName>
    <definedName name="Excel_BuiltIn_Print_Area_1_1_1_1" localSheetId="17">#REF!</definedName>
    <definedName name="Excel_BuiltIn_Print_Area_1_1_1_1" localSheetId="12">#REF!</definedName>
    <definedName name="Excel_BuiltIn_Print_Area_1_1_1_1" localSheetId="10">#REF!</definedName>
    <definedName name="Excel_BuiltIn_Print_Area_1_1_1_1" localSheetId="9">#REF!</definedName>
    <definedName name="Excel_BuiltIn_Print_Area_1_1_1_1">#REF!</definedName>
    <definedName name="Excel_BuiltIn_Print_Area_2" localSheetId="4">#REF!</definedName>
    <definedName name="Excel_BuiltIn_Print_Area_2" localSheetId="6">#REF!</definedName>
    <definedName name="Excel_BuiltIn_Print_Area_2" localSheetId="7">#REF!</definedName>
    <definedName name="Excel_BuiltIn_Print_Area_2" localSheetId="14">#REF!</definedName>
    <definedName name="Excel_BuiltIn_Print_Area_2" localSheetId="15">#REF!</definedName>
    <definedName name="Excel_BuiltIn_Print_Area_2">#REF!</definedName>
    <definedName name="Excel_BuiltIn_Print_Area_3_1" localSheetId="8">#REF!</definedName>
    <definedName name="Excel_BuiltIn_Print_Area_3_1" localSheetId="5">#REF!</definedName>
    <definedName name="Excel_BuiltIn_Print_Area_3_1" localSheetId="4">#REF!</definedName>
    <definedName name="Excel_BuiltIn_Print_Area_3_1" localSheetId="6">#REF!</definedName>
    <definedName name="Excel_BuiltIn_Print_Area_3_1" localSheetId="7">#REF!</definedName>
    <definedName name="Excel_BuiltIn_Print_Area_3_1" localSheetId="3">#REF!</definedName>
    <definedName name="Excel_BuiltIn_Print_Area_3_1" localSheetId="11">#REF!</definedName>
    <definedName name="Excel_BuiltIn_Print_Area_3_1" localSheetId="13">#REF!</definedName>
    <definedName name="Excel_BuiltIn_Print_Area_3_1" localSheetId="14">#REF!</definedName>
    <definedName name="Excel_BuiltIn_Print_Area_3_1" localSheetId="15">#REF!</definedName>
    <definedName name="Excel_BuiltIn_Print_Area_3_1" localSheetId="16">#REF!</definedName>
    <definedName name="Excel_BuiltIn_Print_Area_3_1" localSheetId="17">#REF!</definedName>
    <definedName name="Excel_BuiltIn_Print_Area_3_1" localSheetId="12">#REF!</definedName>
    <definedName name="Excel_BuiltIn_Print_Area_3_1" localSheetId="10">#REF!</definedName>
    <definedName name="Excel_BuiltIn_Print_Area_3_1" localSheetId="9">#REF!</definedName>
    <definedName name="Excel_BuiltIn_Print_Area_3_1">#REF!</definedName>
    <definedName name="Excel_BuiltIn_Print_Area_4_1" localSheetId="8">#REF!</definedName>
    <definedName name="Excel_BuiltIn_Print_Area_4_1" localSheetId="5">#REF!</definedName>
    <definedName name="Excel_BuiltIn_Print_Area_4_1" localSheetId="4">#REF!</definedName>
    <definedName name="Excel_BuiltIn_Print_Area_4_1" localSheetId="6">#REF!</definedName>
    <definedName name="Excel_BuiltIn_Print_Area_4_1" localSheetId="7">#REF!</definedName>
    <definedName name="Excel_BuiltIn_Print_Area_4_1" localSheetId="3">#REF!</definedName>
    <definedName name="Excel_BuiltIn_Print_Area_4_1" localSheetId="11">#REF!</definedName>
    <definedName name="Excel_BuiltIn_Print_Area_4_1" localSheetId="13">#REF!</definedName>
    <definedName name="Excel_BuiltIn_Print_Area_4_1" localSheetId="14">#REF!</definedName>
    <definedName name="Excel_BuiltIn_Print_Area_4_1" localSheetId="15">#REF!</definedName>
    <definedName name="Excel_BuiltIn_Print_Area_4_1" localSheetId="16">#REF!</definedName>
    <definedName name="Excel_BuiltIn_Print_Area_4_1" localSheetId="17">#REF!</definedName>
    <definedName name="Excel_BuiltIn_Print_Area_4_1" localSheetId="12">#REF!</definedName>
    <definedName name="Excel_BuiltIn_Print_Area_4_1" localSheetId="10">#REF!</definedName>
    <definedName name="Excel_BuiltIn_Print_Area_4_1" localSheetId="9">#REF!</definedName>
    <definedName name="Excel_BuiltIn_Print_Area_4_1">#REF!</definedName>
    <definedName name="Excel_BuiltIn_Print_Area_5" localSheetId="4">#REF!</definedName>
    <definedName name="Excel_BuiltIn_Print_Area_5" localSheetId="6">#REF!</definedName>
    <definedName name="Excel_BuiltIn_Print_Area_5" localSheetId="7">#REF!</definedName>
    <definedName name="Excel_BuiltIn_Print_Area_5" localSheetId="14">#REF!</definedName>
    <definedName name="Excel_BuiltIn_Print_Area_5" localSheetId="15">#REF!</definedName>
    <definedName name="Excel_BuiltIn_Print_Area_5">#REF!</definedName>
    <definedName name="Excel_BuiltIn_Print_Area_5_1" localSheetId="4">#REF!</definedName>
    <definedName name="Excel_BuiltIn_Print_Area_5_1" localSheetId="6">#REF!</definedName>
    <definedName name="Excel_BuiltIn_Print_Area_5_1" localSheetId="7">#REF!</definedName>
    <definedName name="Excel_BuiltIn_Print_Area_5_1" localSheetId="14">#REF!</definedName>
    <definedName name="Excel_BuiltIn_Print_Area_5_1" localSheetId="15">#REF!</definedName>
    <definedName name="Excel_BuiltIn_Print_Area_5_1">#REF!</definedName>
    <definedName name="Excel_BuiltIn_Print_Area_6" localSheetId="4">#REF!</definedName>
    <definedName name="Excel_BuiltIn_Print_Area_6" localSheetId="6">#REF!</definedName>
    <definedName name="Excel_BuiltIn_Print_Area_6" localSheetId="7">#REF!</definedName>
    <definedName name="Excel_BuiltIn_Print_Area_6" localSheetId="14">#REF!</definedName>
    <definedName name="Excel_BuiltIn_Print_Area_6" localSheetId="15">#REF!</definedName>
    <definedName name="Excel_BuiltIn_Print_Area_6">#REF!</definedName>
    <definedName name="Excel_BuiltIn_Print_Area_6_1" localSheetId="8">#REF!</definedName>
    <definedName name="Excel_BuiltIn_Print_Area_6_1" localSheetId="5">#REF!</definedName>
    <definedName name="Excel_BuiltIn_Print_Area_6_1" localSheetId="4">#REF!</definedName>
    <definedName name="Excel_BuiltIn_Print_Area_6_1" localSheetId="6">#REF!</definedName>
    <definedName name="Excel_BuiltIn_Print_Area_6_1" localSheetId="7">#REF!</definedName>
    <definedName name="Excel_BuiltIn_Print_Area_6_1" localSheetId="3">#REF!</definedName>
    <definedName name="Excel_BuiltIn_Print_Area_6_1" localSheetId="11">#REF!</definedName>
    <definedName name="Excel_BuiltIn_Print_Area_6_1" localSheetId="13">#REF!</definedName>
    <definedName name="Excel_BuiltIn_Print_Area_6_1" localSheetId="14">#REF!</definedName>
    <definedName name="Excel_BuiltIn_Print_Area_6_1" localSheetId="15">#REF!</definedName>
    <definedName name="Excel_BuiltIn_Print_Area_6_1" localSheetId="16">#REF!</definedName>
    <definedName name="Excel_BuiltIn_Print_Area_6_1" localSheetId="17">#REF!</definedName>
    <definedName name="Excel_BuiltIn_Print_Area_6_1" localSheetId="12">#REF!</definedName>
    <definedName name="Excel_BuiltIn_Print_Area_6_1" localSheetId="10">#REF!</definedName>
    <definedName name="Excel_BuiltIn_Print_Area_6_1" localSheetId="9">#REF!</definedName>
    <definedName name="Excel_BuiltIn_Print_Area_6_1">#REF!</definedName>
    <definedName name="Excel_BuiltIn_Print_Area_7_1" localSheetId="8">#REF!</definedName>
    <definedName name="Excel_BuiltIn_Print_Area_7_1" localSheetId="5">#REF!</definedName>
    <definedName name="Excel_BuiltIn_Print_Area_7_1" localSheetId="4">#REF!</definedName>
    <definedName name="Excel_BuiltIn_Print_Area_7_1" localSheetId="6">#REF!</definedName>
    <definedName name="Excel_BuiltIn_Print_Area_7_1" localSheetId="7">#REF!</definedName>
    <definedName name="Excel_BuiltIn_Print_Area_7_1" localSheetId="3">#REF!</definedName>
    <definedName name="Excel_BuiltIn_Print_Area_7_1" localSheetId="11">#REF!</definedName>
    <definedName name="Excel_BuiltIn_Print_Area_7_1" localSheetId="13">#REF!</definedName>
    <definedName name="Excel_BuiltIn_Print_Area_7_1" localSheetId="14">#REF!</definedName>
    <definedName name="Excel_BuiltIn_Print_Area_7_1" localSheetId="15">#REF!</definedName>
    <definedName name="Excel_BuiltIn_Print_Area_7_1" localSheetId="16">#REF!</definedName>
    <definedName name="Excel_BuiltIn_Print_Area_7_1" localSheetId="17">#REF!</definedName>
    <definedName name="Excel_BuiltIn_Print_Area_7_1" localSheetId="12">#REF!</definedName>
    <definedName name="Excel_BuiltIn_Print_Area_7_1" localSheetId="10">#REF!</definedName>
    <definedName name="Excel_BuiltIn_Print_Area_7_1" localSheetId="9">#REF!</definedName>
    <definedName name="Excel_BuiltIn_Print_Area_7_1">#REF!</definedName>
    <definedName name="Excel_BuiltIn_Print_Area_8_1" localSheetId="8">#REF!</definedName>
    <definedName name="Excel_BuiltIn_Print_Area_8_1" localSheetId="5">#REF!</definedName>
    <definedName name="Excel_BuiltIn_Print_Area_8_1" localSheetId="4">#REF!</definedName>
    <definedName name="Excel_BuiltIn_Print_Area_8_1" localSheetId="6">#REF!</definedName>
    <definedName name="Excel_BuiltIn_Print_Area_8_1" localSheetId="7">#REF!</definedName>
    <definedName name="Excel_BuiltIn_Print_Area_8_1" localSheetId="3">#REF!</definedName>
    <definedName name="Excel_BuiltIn_Print_Area_8_1" localSheetId="11">#REF!</definedName>
    <definedName name="Excel_BuiltIn_Print_Area_8_1" localSheetId="13">#REF!</definedName>
    <definedName name="Excel_BuiltIn_Print_Area_8_1" localSheetId="14">#REF!</definedName>
    <definedName name="Excel_BuiltIn_Print_Area_8_1" localSheetId="15">#REF!</definedName>
    <definedName name="Excel_BuiltIn_Print_Area_8_1" localSheetId="16">#REF!</definedName>
    <definedName name="Excel_BuiltIn_Print_Area_8_1" localSheetId="17">#REF!</definedName>
    <definedName name="Excel_BuiltIn_Print_Area_8_1" localSheetId="12">#REF!</definedName>
    <definedName name="Excel_BuiltIn_Print_Area_8_1" localSheetId="10">#REF!</definedName>
    <definedName name="Excel_BuiltIn_Print_Area_8_1" localSheetId="9">#REF!</definedName>
    <definedName name="Excel_BuiltIn_Print_Area_8_1">#REF!</definedName>
    <definedName name="Excel_BuiltIn_Print_Titles_1">"$#REF!.$A$1:$AMJ$5"</definedName>
    <definedName name="Excel_BuiltIn_Print_Titles_1_1" localSheetId="8">#REF!</definedName>
    <definedName name="Excel_BuiltIn_Print_Titles_1_1" localSheetId="5">#REF!</definedName>
    <definedName name="Excel_BuiltIn_Print_Titles_1_1" localSheetId="4">#REF!</definedName>
    <definedName name="Excel_BuiltIn_Print_Titles_1_1" localSheetId="6">#REF!</definedName>
    <definedName name="Excel_BuiltIn_Print_Titles_1_1" localSheetId="7">#REF!</definedName>
    <definedName name="Excel_BuiltIn_Print_Titles_1_1" localSheetId="3">#REF!</definedName>
    <definedName name="Excel_BuiltIn_Print_Titles_1_1" localSheetId="11">#REF!</definedName>
    <definedName name="Excel_BuiltIn_Print_Titles_1_1" localSheetId="13">#REF!</definedName>
    <definedName name="Excel_BuiltIn_Print_Titles_1_1" localSheetId="14">#REF!</definedName>
    <definedName name="Excel_BuiltIn_Print_Titles_1_1" localSheetId="15">#REF!</definedName>
    <definedName name="Excel_BuiltIn_Print_Titles_1_1" localSheetId="16">#REF!</definedName>
    <definedName name="Excel_BuiltIn_Print_Titles_1_1" localSheetId="17">#REF!</definedName>
    <definedName name="Excel_BuiltIn_Print_Titles_1_1" localSheetId="12">#REF!</definedName>
    <definedName name="Excel_BuiltIn_Print_Titles_1_1" localSheetId="10">#REF!</definedName>
    <definedName name="Excel_BuiltIn_Print_Titles_1_1" localSheetId="9">#REF!</definedName>
    <definedName name="Excel_BuiltIn_Print_Titles_1_1">#REF!</definedName>
    <definedName name="Excel_BuiltIn_Print_Titles_1_1_1" localSheetId="8">#REF!</definedName>
    <definedName name="Excel_BuiltIn_Print_Titles_1_1_1" localSheetId="5">#REF!</definedName>
    <definedName name="Excel_BuiltIn_Print_Titles_1_1_1" localSheetId="4">#REF!</definedName>
    <definedName name="Excel_BuiltIn_Print_Titles_1_1_1" localSheetId="6">#REF!</definedName>
    <definedName name="Excel_BuiltIn_Print_Titles_1_1_1" localSheetId="7">#REF!</definedName>
    <definedName name="Excel_BuiltIn_Print_Titles_1_1_1" localSheetId="3">#REF!</definedName>
    <definedName name="Excel_BuiltIn_Print_Titles_1_1_1" localSheetId="11">#REF!</definedName>
    <definedName name="Excel_BuiltIn_Print_Titles_1_1_1" localSheetId="13">#REF!</definedName>
    <definedName name="Excel_BuiltIn_Print_Titles_1_1_1" localSheetId="14">#REF!</definedName>
    <definedName name="Excel_BuiltIn_Print_Titles_1_1_1" localSheetId="15">#REF!</definedName>
    <definedName name="Excel_BuiltIn_Print_Titles_1_1_1" localSheetId="16">#REF!</definedName>
    <definedName name="Excel_BuiltIn_Print_Titles_1_1_1" localSheetId="17">#REF!</definedName>
    <definedName name="Excel_BuiltIn_Print_Titles_1_1_1" localSheetId="12">#REF!</definedName>
    <definedName name="Excel_BuiltIn_Print_Titles_1_1_1" localSheetId="10">#REF!</definedName>
    <definedName name="Excel_BuiltIn_Print_Titles_1_1_1" localSheetId="9">#REF!</definedName>
    <definedName name="Excel_BuiltIn_Print_Titles_1_1_1">#REF!</definedName>
    <definedName name="fdkewfjnewfnew" localSheetId="8">#REF!</definedName>
    <definedName name="fdkewfjnewfnew" localSheetId="5">#REF!</definedName>
    <definedName name="fdkewfjnewfnew" localSheetId="4">#REF!</definedName>
    <definedName name="fdkewfjnewfnew" localSheetId="6">#REF!</definedName>
    <definedName name="fdkewfjnewfnew" localSheetId="7">#REF!</definedName>
    <definedName name="fdkewfjnewfnew" localSheetId="3">#REF!</definedName>
    <definedName name="fdkewfjnewfnew" localSheetId="11">#REF!</definedName>
    <definedName name="fdkewfjnewfnew" localSheetId="13">#REF!</definedName>
    <definedName name="fdkewfjnewfnew" localSheetId="14">#REF!</definedName>
    <definedName name="fdkewfjnewfnew" localSheetId="15">#REF!</definedName>
    <definedName name="fdkewfjnewfnew" localSheetId="16">#REF!</definedName>
    <definedName name="fdkewfjnewfnew" localSheetId="17">#REF!</definedName>
    <definedName name="fdkewfjnewfnew" localSheetId="12">#REF!</definedName>
    <definedName name="fdkewfjnewfnew" localSheetId="10">#REF!</definedName>
    <definedName name="fdkewfjnewfnew" localSheetId="9">#REF!</definedName>
    <definedName name="fdkewfjnewfnew">#REF!</definedName>
    <definedName name="jyfrmujyrm" localSheetId="8">#REF!</definedName>
    <definedName name="jyfrmujyrm" localSheetId="5">#REF!</definedName>
    <definedName name="jyfrmujyrm" localSheetId="4">#REF!</definedName>
    <definedName name="jyfrmujyrm" localSheetId="6">#REF!</definedName>
    <definedName name="jyfrmujyrm" localSheetId="7">#REF!</definedName>
    <definedName name="jyfrmujyrm" localSheetId="3">#REF!</definedName>
    <definedName name="jyfrmujyrm" localSheetId="13">#REF!</definedName>
    <definedName name="jyfrmujyrm" localSheetId="14">#REF!</definedName>
    <definedName name="jyfrmujyrm" localSheetId="15">#REF!</definedName>
    <definedName name="jyfrmujyrm" localSheetId="16">#REF!</definedName>
    <definedName name="jyfrmujyrm" localSheetId="17">#REF!</definedName>
    <definedName name="jyfrmujyrm" localSheetId="12">#REF!</definedName>
    <definedName name="jyfrmujyrm" localSheetId="10">#REF!</definedName>
    <definedName name="jyfrmujyrm" localSheetId="9">#REF!</definedName>
    <definedName name="jyfrmujyrm">#REF!</definedName>
    <definedName name="lista1" localSheetId="8">#REF!</definedName>
    <definedName name="lista1" localSheetId="5">#REF!</definedName>
    <definedName name="lista1" localSheetId="4">#REF!</definedName>
    <definedName name="lista1" localSheetId="6">#REF!</definedName>
    <definedName name="lista1" localSheetId="7">#REF!</definedName>
    <definedName name="lista1" localSheetId="3">#REF!</definedName>
    <definedName name="lista1" localSheetId="11">#REF!</definedName>
    <definedName name="lista1" localSheetId="13">#REF!</definedName>
    <definedName name="lista1" localSheetId="14">#REF!</definedName>
    <definedName name="lista1" localSheetId="15">#REF!</definedName>
    <definedName name="lista1" localSheetId="16">#REF!</definedName>
    <definedName name="lista1" localSheetId="17">#REF!</definedName>
    <definedName name="lista1" localSheetId="12">#REF!</definedName>
    <definedName name="lista1" localSheetId="10">#REF!</definedName>
    <definedName name="lista1" localSheetId="9">#REF!</definedName>
    <definedName name="lista1">#REF!</definedName>
    <definedName name="lista2" localSheetId="8">#REF!</definedName>
    <definedName name="lista2" localSheetId="5">#REF!</definedName>
    <definedName name="lista2" localSheetId="4">#REF!</definedName>
    <definedName name="lista2" localSheetId="6">#REF!</definedName>
    <definedName name="lista2" localSheetId="7">#REF!</definedName>
    <definedName name="lista2" localSheetId="3">#REF!</definedName>
    <definedName name="lista2" localSheetId="11">#REF!</definedName>
    <definedName name="lista2" localSheetId="13">#REF!</definedName>
    <definedName name="lista2" localSheetId="14">#REF!</definedName>
    <definedName name="lista2" localSheetId="15">#REF!</definedName>
    <definedName name="lista2" localSheetId="16">#REF!</definedName>
    <definedName name="lista2" localSheetId="17">#REF!</definedName>
    <definedName name="lista2" localSheetId="12">#REF!</definedName>
    <definedName name="lista2" localSheetId="10">#REF!</definedName>
    <definedName name="lista2" localSheetId="9">#REF!</definedName>
    <definedName name="lista2">#REF!</definedName>
    <definedName name="nome" localSheetId="8">#REF!</definedName>
    <definedName name="nome" localSheetId="5">#REF!</definedName>
    <definedName name="nome" localSheetId="4">#REF!</definedName>
    <definedName name="nome" localSheetId="6">#REF!</definedName>
    <definedName name="nome" localSheetId="7">#REF!</definedName>
    <definedName name="nome" localSheetId="3">#REF!</definedName>
    <definedName name="nome" localSheetId="11">#REF!</definedName>
    <definedName name="nome" localSheetId="13">#REF!</definedName>
    <definedName name="nome" localSheetId="14">#REF!</definedName>
    <definedName name="nome" localSheetId="15">#REF!</definedName>
    <definedName name="nome" localSheetId="16">#REF!</definedName>
    <definedName name="nome" localSheetId="17">#REF!</definedName>
    <definedName name="nome" localSheetId="12">#REF!</definedName>
    <definedName name="nome" localSheetId="10">#REF!</definedName>
    <definedName name="nome" localSheetId="9">#REF!</definedName>
    <definedName name="nome">#REF!</definedName>
    <definedName name="PPPAs" localSheetId="8">#REF!</definedName>
    <definedName name="PPPAs" localSheetId="5">#REF!</definedName>
    <definedName name="PPPAs" localSheetId="4">#REF!</definedName>
    <definedName name="PPPAs" localSheetId="6">#REF!</definedName>
    <definedName name="PPPAs" localSheetId="7">#REF!</definedName>
    <definedName name="PPPAs" localSheetId="3">#REF!</definedName>
    <definedName name="PPPAs" localSheetId="11">#REF!</definedName>
    <definedName name="PPPAs" localSheetId="13">#REF!</definedName>
    <definedName name="PPPAs" localSheetId="14">#REF!</definedName>
    <definedName name="PPPAs" localSheetId="15">#REF!</definedName>
    <definedName name="PPPAs" localSheetId="16">#REF!</definedName>
    <definedName name="PPPAs" localSheetId="17">#REF!</definedName>
    <definedName name="PPPAs" localSheetId="12">#REF!</definedName>
    <definedName name="PPPAs" localSheetId="10">#REF!</definedName>
    <definedName name="PPPAs" localSheetId="9">#REF!</definedName>
    <definedName name="PPPAs">#REF!</definedName>
    <definedName name="res" localSheetId="8">#REF!</definedName>
    <definedName name="res" localSheetId="5">#REF!</definedName>
    <definedName name="res" localSheetId="4">#REF!</definedName>
    <definedName name="res" localSheetId="6">#REF!</definedName>
    <definedName name="res" localSheetId="7">#REF!</definedName>
    <definedName name="res" localSheetId="3">#REF!</definedName>
    <definedName name="res" localSheetId="13">#REF!</definedName>
    <definedName name="res" localSheetId="14">#REF!</definedName>
    <definedName name="res" localSheetId="15">#REF!</definedName>
    <definedName name="res" localSheetId="16">#REF!</definedName>
    <definedName name="res" localSheetId="17">#REF!</definedName>
    <definedName name="res" localSheetId="12">#REF!</definedName>
    <definedName name="res" localSheetId="10">#REF!</definedName>
    <definedName name="res" localSheetId="9">#REF!</definedName>
    <definedName name="res">#REF!</definedName>
    <definedName name="resumo" localSheetId="8">#REF!</definedName>
    <definedName name="resumo" localSheetId="5">#REF!</definedName>
    <definedName name="resumo" localSheetId="4">#REF!</definedName>
    <definedName name="resumo" localSheetId="6">#REF!</definedName>
    <definedName name="resumo" localSheetId="7">#REF!</definedName>
    <definedName name="resumo" localSheetId="3">#REF!</definedName>
    <definedName name="resumo" localSheetId="11">#REF!</definedName>
    <definedName name="resumo" localSheetId="13">#REF!</definedName>
    <definedName name="resumo" localSheetId="14">#REF!</definedName>
    <definedName name="resumo" localSheetId="15">#REF!</definedName>
    <definedName name="resumo" localSheetId="16">#REF!</definedName>
    <definedName name="resumo" localSheetId="17">#REF!</definedName>
    <definedName name="resumo" localSheetId="12">#REF!</definedName>
    <definedName name="resumo" localSheetId="10">#REF!</definedName>
    <definedName name="resumo" localSheetId="9">#REF!</definedName>
    <definedName name="resumo">#REF!</definedName>
    <definedName name="sad" localSheetId="4">#REF!</definedName>
    <definedName name="sad" localSheetId="6">#REF!</definedName>
    <definedName name="sad" localSheetId="7">#REF!</definedName>
    <definedName name="sad" localSheetId="14">#REF!</definedName>
    <definedName name="sad" localSheetId="15">#REF!</definedName>
    <definedName name="sad">#REF!</definedName>
    <definedName name="sdsd" localSheetId="8">#REF!</definedName>
    <definedName name="sdsd" localSheetId="5">#REF!</definedName>
    <definedName name="sdsd" localSheetId="4">#REF!</definedName>
    <definedName name="sdsd" localSheetId="6">#REF!</definedName>
    <definedName name="sdsd" localSheetId="7">#REF!</definedName>
    <definedName name="sdsd" localSheetId="3">#REF!</definedName>
    <definedName name="sdsd" localSheetId="11">#REF!</definedName>
    <definedName name="sdsd" localSheetId="13">#REF!</definedName>
    <definedName name="sdsd" localSheetId="14">#REF!</definedName>
    <definedName name="sdsd" localSheetId="15">#REF!</definedName>
    <definedName name="sdsd" localSheetId="16">#REF!</definedName>
    <definedName name="sdsd" localSheetId="17">#REF!</definedName>
    <definedName name="sdsd" localSheetId="12">#REF!</definedName>
    <definedName name="sdsd" localSheetId="10">#REF!</definedName>
    <definedName name="sdsd" localSheetId="9">#REF!</definedName>
    <definedName name="sdsd">#REF!</definedName>
    <definedName name="Telefonista_VAZIA" localSheetId="8">#REF!</definedName>
    <definedName name="Telefonista_VAZIA" localSheetId="5">#REF!</definedName>
    <definedName name="Telefonista_VAZIA" localSheetId="4">#REF!</definedName>
    <definedName name="Telefonista_VAZIA" localSheetId="6">#REF!</definedName>
    <definedName name="Telefonista_VAZIA" localSheetId="7">#REF!</definedName>
    <definedName name="Telefonista_VAZIA" localSheetId="3">#REF!</definedName>
    <definedName name="Telefonista_VAZIA" localSheetId="13">#REF!</definedName>
    <definedName name="Telefonista_VAZIA" localSheetId="14">#REF!</definedName>
    <definedName name="Telefonista_VAZIA" localSheetId="15">#REF!</definedName>
    <definedName name="Telefonista_VAZIA" localSheetId="16">#REF!</definedName>
    <definedName name="Telefonista_VAZIA" localSheetId="17">#REF!</definedName>
    <definedName name="Telefonista_VAZIA" localSheetId="12">#REF!</definedName>
    <definedName name="Telefonista_VAZIA" localSheetId="10">#REF!</definedName>
    <definedName name="Telefonista_VAZIA" localSheetId="9">#REF!</definedName>
    <definedName name="Telefonista_VAZIA">#REF!</definedName>
    <definedName name="Teste" localSheetId="8">#REF!</definedName>
    <definedName name="Teste" localSheetId="5">#REF!</definedName>
    <definedName name="teste" localSheetId="4">#REF!</definedName>
    <definedName name="Teste" localSheetId="6">#REF!</definedName>
    <definedName name="Teste" localSheetId="7">#REF!</definedName>
    <definedName name="Teste" localSheetId="3">#REF!</definedName>
    <definedName name="Teste" localSheetId="11">#REF!</definedName>
    <definedName name="Teste" localSheetId="13">#REF!</definedName>
    <definedName name="Teste" localSheetId="14">#REF!</definedName>
    <definedName name="Teste" localSheetId="15">#REF!</definedName>
    <definedName name="Teste" localSheetId="16">#REF!</definedName>
    <definedName name="teste" localSheetId="17">#REF!</definedName>
    <definedName name="teste" localSheetId="12">#REF!</definedName>
    <definedName name="Teste" localSheetId="10">#REF!</definedName>
    <definedName name="Teste" localSheetId="9">#REF!</definedName>
    <definedName name="Teste">#REF!</definedName>
  </definedName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5" i="43" l="1"/>
  <c r="G25" i="42"/>
  <c r="B33" i="49"/>
  <c r="B34" i="49" s="1"/>
  <c r="B35" i="49" s="1"/>
  <c r="B36" i="49" s="1"/>
  <c r="B37" i="49" s="1"/>
  <c r="B38" i="49" s="1"/>
  <c r="B39" i="49" s="1"/>
  <c r="B40" i="49" s="1"/>
  <c r="B32" i="49"/>
  <c r="H8" i="49"/>
  <c r="I8" i="49" s="1"/>
  <c r="H7" i="49"/>
  <c r="I7" i="49" s="1"/>
  <c r="E72" i="48"/>
  <c r="H21" i="48"/>
  <c r="E9" i="48"/>
  <c r="E13" i="48" s="1"/>
  <c r="E31" i="48" s="1"/>
  <c r="E72" i="47"/>
  <c r="E61" i="47"/>
  <c r="H21" i="47"/>
  <c r="E9" i="47"/>
  <c r="E13" i="47" s="1"/>
  <c r="B23" i="46"/>
  <c r="B24" i="46" s="1"/>
  <c r="B25" i="46" s="1"/>
  <c r="B26" i="46" s="1"/>
  <c r="C10" i="46"/>
  <c r="E73" i="41"/>
  <c r="S12" i="22"/>
  <c r="S11" i="22"/>
  <c r="I9" i="49" l="1"/>
  <c r="K7" i="49" s="1"/>
  <c r="L7" i="49" s="1"/>
  <c r="G8" i="49"/>
  <c r="G7" i="49"/>
  <c r="E45" i="48"/>
  <c r="E62" i="48"/>
  <c r="E53" i="48"/>
  <c r="E39" i="48"/>
  <c r="E40" i="48"/>
  <c r="E34" i="48"/>
  <c r="E27" i="48"/>
  <c r="E32" i="48"/>
  <c r="E35" i="48"/>
  <c r="E41" i="48"/>
  <c r="E46" i="48"/>
  <c r="E51" i="48"/>
  <c r="E55" i="48"/>
  <c r="E58" i="48"/>
  <c r="E60" i="48"/>
  <c r="E64" i="48"/>
  <c r="E29" i="48"/>
  <c r="E33" i="48"/>
  <c r="E36" i="48"/>
  <c r="E52" i="48"/>
  <c r="E30" i="48"/>
  <c r="E42" i="48"/>
  <c r="E50" i="48"/>
  <c r="E54" i="48"/>
  <c r="E59" i="48"/>
  <c r="E61" i="48"/>
  <c r="E63" i="48"/>
  <c r="E17" i="48"/>
  <c r="E42" i="47"/>
  <c r="E59" i="47"/>
  <c r="E45" i="47"/>
  <c r="E40" i="47"/>
  <c r="E31" i="47"/>
  <c r="E17" i="47"/>
  <c r="E33" i="47"/>
  <c r="E32" i="47"/>
  <c r="E34" i="47"/>
  <c r="E30" i="47"/>
  <c r="E36" i="47"/>
  <c r="E29" i="47"/>
  <c r="E64" i="47"/>
  <c r="E60" i="47"/>
  <c r="E58" i="47"/>
  <c r="E55" i="47"/>
  <c r="E51" i="47"/>
  <c r="E35" i="47"/>
  <c r="E62" i="47"/>
  <c r="E46" i="47"/>
  <c r="E41" i="47"/>
  <c r="E52" i="47"/>
  <c r="E53" i="47"/>
  <c r="E63" i="47"/>
  <c r="E54" i="47"/>
  <c r="E27" i="47"/>
  <c r="E39" i="47"/>
  <c r="E50" i="47"/>
  <c r="E10" i="46"/>
  <c r="E11" i="46" s="1"/>
  <c r="F7" i="28"/>
  <c r="L7" i="28"/>
  <c r="M7" i="28"/>
  <c r="I9" i="28"/>
  <c r="I4" i="28"/>
  <c r="N7" i="28" s="1"/>
  <c r="K7" i="28"/>
  <c r="J7" i="28"/>
  <c r="I7" i="28"/>
  <c r="H7" i="27"/>
  <c r="G7" i="27"/>
  <c r="E7" i="27"/>
  <c r="I7" i="27" s="1"/>
  <c r="I11" i="22"/>
  <c r="D64" i="45"/>
  <c r="D63" i="45"/>
  <c r="D61" i="45"/>
  <c r="D60" i="45"/>
  <c r="D59" i="45"/>
  <c r="D58" i="45"/>
  <c r="D55" i="45"/>
  <c r="D54" i="45"/>
  <c r="D53" i="45"/>
  <c r="D51" i="45"/>
  <c r="D50" i="45"/>
  <c r="D45" i="45"/>
  <c r="D40" i="45"/>
  <c r="D39" i="45"/>
  <c r="D42" i="45" s="1"/>
  <c r="D37" i="45"/>
  <c r="D41" i="45" s="1"/>
  <c r="D35" i="45"/>
  <c r="E22" i="45"/>
  <c r="H21" i="45"/>
  <c r="E20" i="45"/>
  <c r="E21" i="45" s="1"/>
  <c r="E9" i="45"/>
  <c r="E13" i="45" s="1"/>
  <c r="D23" i="35"/>
  <c r="I23" i="35"/>
  <c r="J23" i="35" s="1"/>
  <c r="P11" i="22"/>
  <c r="O11" i="22"/>
  <c r="B23" i="22"/>
  <c r="B24" i="22" s="1"/>
  <c r="B25" i="22" s="1"/>
  <c r="B26" i="22" s="1"/>
  <c r="H18" i="44"/>
  <c r="Y17" i="44"/>
  <c r="Z17" i="44" s="1"/>
  <c r="W17" i="44"/>
  <c r="S17" i="44"/>
  <c r="N17" i="44"/>
  <c r="O17" i="44" s="1"/>
  <c r="L17" i="44"/>
  <c r="Y16" i="44"/>
  <c r="Z16" i="44" s="1"/>
  <c r="W16" i="44"/>
  <c r="S16" i="44"/>
  <c r="N16" i="44"/>
  <c r="O16" i="44" s="1"/>
  <c r="L16" i="44"/>
  <c r="Y15" i="44"/>
  <c r="Z15" i="44" s="1"/>
  <c r="W15" i="44"/>
  <c r="S15" i="44"/>
  <c r="N15" i="44"/>
  <c r="O15" i="44" s="1"/>
  <c r="L15" i="44"/>
  <c r="Y14" i="44"/>
  <c r="Z14" i="44" s="1"/>
  <c r="W14" i="44"/>
  <c r="S14" i="44"/>
  <c r="O14" i="44"/>
  <c r="N14" i="44"/>
  <c r="L14" i="44"/>
  <c r="Y13" i="44"/>
  <c r="Z13" i="44" s="1"/>
  <c r="W13" i="44"/>
  <c r="S13" i="44"/>
  <c r="N13" i="44"/>
  <c r="O13" i="44" s="1"/>
  <c r="L13" i="44"/>
  <c r="Y12" i="44"/>
  <c r="Z12" i="44" s="1"/>
  <c r="W12" i="44"/>
  <c r="S12" i="44"/>
  <c r="N12" i="44"/>
  <c r="O12" i="44" s="1"/>
  <c r="L12" i="44"/>
  <c r="Y11" i="44"/>
  <c r="Z11" i="44" s="1"/>
  <c r="W11" i="44"/>
  <c r="S11" i="44"/>
  <c r="N11" i="44"/>
  <c r="O11" i="44" s="1"/>
  <c r="L11" i="44"/>
  <c r="Y10" i="44"/>
  <c r="Z10" i="44" s="1"/>
  <c r="W10" i="44"/>
  <c r="S10" i="44"/>
  <c r="Q10" i="44"/>
  <c r="Q11" i="44" s="1"/>
  <c r="Q12" i="44" s="1"/>
  <c r="Q13" i="44" s="1"/>
  <c r="Q14" i="44" s="1"/>
  <c r="Q15" i="44" s="1"/>
  <c r="Q16" i="44" s="1"/>
  <c r="Q17" i="44" s="1"/>
  <c r="O10" i="44"/>
  <c r="N10" i="44"/>
  <c r="L10" i="44"/>
  <c r="Y9" i="44"/>
  <c r="Z9" i="44" s="1"/>
  <c r="W9" i="44"/>
  <c r="S9" i="44"/>
  <c r="Q9" i="44"/>
  <c r="N9" i="44"/>
  <c r="O9" i="44" s="1"/>
  <c r="L9" i="44"/>
  <c r="Y8" i="44"/>
  <c r="Z8" i="44" s="1"/>
  <c r="W8" i="44"/>
  <c r="S8" i="44"/>
  <c r="Q8" i="44"/>
  <c r="N8" i="44"/>
  <c r="O8" i="44" s="1"/>
  <c r="L8" i="44"/>
  <c r="F8" i="44"/>
  <c r="F9" i="44" s="1"/>
  <c r="F10" i="44" s="1"/>
  <c r="F11" i="44" s="1"/>
  <c r="F12" i="44" s="1"/>
  <c r="F13" i="44" s="1"/>
  <c r="F14" i="44" s="1"/>
  <c r="F15" i="44" s="1"/>
  <c r="F16" i="44" s="1"/>
  <c r="F17" i="44" s="1"/>
  <c r="Y7" i="44"/>
  <c r="Z7" i="44" s="1"/>
  <c r="W7" i="44"/>
  <c r="S7" i="44"/>
  <c r="Q7" i="44"/>
  <c r="N7" i="44"/>
  <c r="O7" i="44" s="1"/>
  <c r="L7" i="44"/>
  <c r="F7" i="44"/>
  <c r="Y6" i="44"/>
  <c r="Z6" i="44" s="1"/>
  <c r="W6" i="44"/>
  <c r="S6" i="44"/>
  <c r="S18" i="44" s="1"/>
  <c r="O6" i="44"/>
  <c r="N6" i="44"/>
  <c r="L6" i="44"/>
  <c r="D18" i="43"/>
  <c r="P10" i="43"/>
  <c r="M10" i="43"/>
  <c r="B32" i="42"/>
  <c r="B33" i="42" s="1"/>
  <c r="B34" i="42" s="1"/>
  <c r="B35" i="42" s="1"/>
  <c r="B36" i="42" s="1"/>
  <c r="B37" i="42" s="1"/>
  <c r="B38" i="42" s="1"/>
  <c r="B39" i="42" s="1"/>
  <c r="B40" i="42" s="1"/>
  <c r="D18" i="42"/>
  <c r="C4" i="28"/>
  <c r="E9" i="41"/>
  <c r="D64" i="41"/>
  <c r="D63" i="41"/>
  <c r="D61" i="41"/>
  <c r="D60" i="41"/>
  <c r="D59" i="41"/>
  <c r="D58" i="41"/>
  <c r="D55" i="41"/>
  <c r="D54" i="41"/>
  <c r="E54" i="41" s="1"/>
  <c r="D51" i="41"/>
  <c r="D50" i="41"/>
  <c r="D53" i="41" s="1"/>
  <c r="D45" i="41"/>
  <c r="D40" i="41"/>
  <c r="D39" i="41"/>
  <c r="D42" i="41" s="1"/>
  <c r="D35" i="41"/>
  <c r="D37" i="41" s="1"/>
  <c r="H21" i="41"/>
  <c r="E13" i="41"/>
  <c r="E33" i="41" s="1"/>
  <c r="C104" i="39"/>
  <c r="C103" i="39"/>
  <c r="C102" i="39"/>
  <c r="C101" i="39"/>
  <c r="C100" i="39"/>
  <c r="V88" i="39"/>
  <c r="H88" i="39"/>
  <c r="V82" i="39"/>
  <c r="H82" i="39"/>
  <c r="V73" i="39"/>
  <c r="H73" i="39"/>
  <c r="V68" i="39"/>
  <c r="H68" i="39"/>
  <c r="V61" i="39"/>
  <c r="H61" i="39"/>
  <c r="V57" i="39"/>
  <c r="V80" i="39" s="1"/>
  <c r="V51" i="39"/>
  <c r="H51" i="39"/>
  <c r="K45" i="39"/>
  <c r="H50" i="39" s="1"/>
  <c r="V46" i="39" s="1"/>
  <c r="T44" i="39"/>
  <c r="Q44" i="39"/>
  <c r="O41" i="39"/>
  <c r="V41" i="39" s="1"/>
  <c r="V42" i="39" s="1"/>
  <c r="K41" i="39"/>
  <c r="H41" i="39"/>
  <c r="V35" i="39"/>
  <c r="H35" i="39"/>
  <c r="N30" i="39"/>
  <c r="H30" i="39"/>
  <c r="V29" i="39" s="1"/>
  <c r="C28" i="39"/>
  <c r="Q24" i="39"/>
  <c r="V19" i="39"/>
  <c r="V16" i="39"/>
  <c r="V22" i="39" s="1"/>
  <c r="V10" i="39"/>
  <c r="V13" i="39" s="1"/>
  <c r="J8" i="49" l="1"/>
  <c r="J7" i="49"/>
  <c r="G9" i="49"/>
  <c r="E47" i="48"/>
  <c r="E43" i="48"/>
  <c r="E56" i="48"/>
  <c r="E37" i="48"/>
  <c r="E47" i="47"/>
  <c r="E43" i="47"/>
  <c r="E56" i="47"/>
  <c r="E37" i="47"/>
  <c r="D52" i="45"/>
  <c r="E52" i="45" s="1"/>
  <c r="E60" i="45"/>
  <c r="E42" i="45"/>
  <c r="E61" i="45"/>
  <c r="E17" i="45"/>
  <c r="E36" i="45"/>
  <c r="E51" i="45"/>
  <c r="E35" i="45"/>
  <c r="E34" i="45"/>
  <c r="E32" i="45"/>
  <c r="E31" i="45"/>
  <c r="E58" i="45"/>
  <c r="E33" i="45"/>
  <c r="E30" i="45"/>
  <c r="E29" i="45"/>
  <c r="E64" i="45"/>
  <c r="E54" i="45"/>
  <c r="E41" i="45"/>
  <c r="D43" i="45"/>
  <c r="E40" i="45"/>
  <c r="E63" i="45"/>
  <c r="E53" i="45"/>
  <c r="E55" i="45"/>
  <c r="E50" i="45"/>
  <c r="E59" i="45"/>
  <c r="E39" i="45"/>
  <c r="D56" i="45"/>
  <c r="E27" i="45"/>
  <c r="D62" i="45"/>
  <c r="E62" i="45" s="1"/>
  <c r="E45" i="45"/>
  <c r="D46" i="45"/>
  <c r="E46" i="45" s="1"/>
  <c r="O18" i="44"/>
  <c r="Z18" i="44"/>
  <c r="E32" i="41"/>
  <c r="E53" i="41"/>
  <c r="D62" i="41"/>
  <c r="E62" i="41" s="1"/>
  <c r="D52" i="41"/>
  <c r="D56" i="41" s="1"/>
  <c r="E50" i="41"/>
  <c r="E60" i="41"/>
  <c r="E63" i="41"/>
  <c r="E29" i="41"/>
  <c r="E35" i="41"/>
  <c r="E55" i="41"/>
  <c r="E36" i="41"/>
  <c r="E58" i="41"/>
  <c r="E64" i="41"/>
  <c r="E42" i="41"/>
  <c r="E40" i="41"/>
  <c r="E61" i="41"/>
  <c r="E30" i="41"/>
  <c r="E51" i="41"/>
  <c r="E31" i="41"/>
  <c r="E52" i="41"/>
  <c r="E45" i="41"/>
  <c r="E59" i="41"/>
  <c r="E39" i="41"/>
  <c r="D41" i="41"/>
  <c r="E17" i="41"/>
  <c r="E34" i="41"/>
  <c r="D46" i="41"/>
  <c r="E46" i="41" s="1"/>
  <c r="N45" i="39"/>
  <c r="V45" i="39" s="1"/>
  <c r="Q81" i="39"/>
  <c r="V81" i="39" s="1"/>
  <c r="Q23" i="39"/>
  <c r="V31" i="39"/>
  <c r="V32" i="39" s="1"/>
  <c r="O44" i="39"/>
  <c r="V44" i="39" s="1"/>
  <c r="V54" i="39" s="1"/>
  <c r="V100" i="39"/>
  <c r="T24" i="39"/>
  <c r="V24" i="39" s="1"/>
  <c r="T23" i="39"/>
  <c r="V94" i="39"/>
  <c r="Q96" i="39" s="1"/>
  <c r="T81" i="39"/>
  <c r="G11" i="49" l="1"/>
  <c r="G12" i="49" s="1"/>
  <c r="J9" i="49"/>
  <c r="E48" i="48"/>
  <c r="E48" i="47"/>
  <c r="E56" i="41"/>
  <c r="E47" i="41"/>
  <c r="E43" i="45"/>
  <c r="E37" i="45"/>
  <c r="E48" i="45" s="1"/>
  <c r="E47" i="45"/>
  <c r="D47" i="45"/>
  <c r="D65" i="45" s="1"/>
  <c r="E56" i="45"/>
  <c r="E37" i="41"/>
  <c r="E41" i="41"/>
  <c r="E43" i="41" s="1"/>
  <c r="D43" i="41"/>
  <c r="D47" i="41"/>
  <c r="M96" i="39"/>
  <c r="V103" i="39"/>
  <c r="K96" i="39"/>
  <c r="V102" i="39"/>
  <c r="V23" i="39"/>
  <c r="V25" i="39" s="1"/>
  <c r="G13" i="49" l="1"/>
  <c r="G24" i="49" s="1"/>
  <c r="E65" i="48"/>
  <c r="E66" i="48" s="1"/>
  <c r="E67" i="48" s="1"/>
  <c r="H67" i="48"/>
  <c r="H73" i="48" s="1"/>
  <c r="E65" i="47"/>
  <c r="E66" i="47" s="1"/>
  <c r="H67" i="47"/>
  <c r="H73" i="47" s="1"/>
  <c r="E65" i="45"/>
  <c r="E66" i="45" s="1"/>
  <c r="E67" i="45" s="1"/>
  <c r="D66" i="45"/>
  <c r="D67" i="45" s="1"/>
  <c r="H67" i="45" s="1"/>
  <c r="D65" i="41"/>
  <c r="I96" i="39"/>
  <c r="V96" i="39" s="1"/>
  <c r="V97" i="39" s="1"/>
  <c r="V104" i="39" s="1"/>
  <c r="V101" i="39"/>
  <c r="G15" i="49" l="1"/>
  <c r="G16" i="49"/>
  <c r="G17" i="49"/>
  <c r="E73" i="48"/>
  <c r="E73" i="47"/>
  <c r="E67" i="47"/>
  <c r="V105" i="39"/>
  <c r="E65" i="41"/>
  <c r="E66" i="41" s="1"/>
  <c r="E67" i="41" s="1"/>
  <c r="D66" i="41"/>
  <c r="D67" i="41" s="1"/>
  <c r="H67" i="41" s="1"/>
  <c r="G18" i="49" l="1"/>
  <c r="I22" i="35"/>
  <c r="D11" i="35"/>
  <c r="D12" i="35" s="1"/>
  <c r="E10" i="35"/>
  <c r="F10" i="35" s="1"/>
  <c r="E11" i="35" l="1"/>
  <c r="E12" i="35" s="1"/>
  <c r="E13" i="35" s="1"/>
  <c r="E14" i="35" s="1"/>
  <c r="G10" i="35"/>
  <c r="F11" i="35"/>
  <c r="F12" i="35" s="1"/>
  <c r="F13" i="35" s="1"/>
  <c r="D13" i="35"/>
  <c r="E43" i="26"/>
  <c r="E39" i="26"/>
  <c r="R17" i="26"/>
  <c r="F17" i="26"/>
  <c r="R16" i="26"/>
  <c r="F16" i="26"/>
  <c r="R15" i="26"/>
  <c r="F15" i="26"/>
  <c r="R14" i="26"/>
  <c r="F14" i="26"/>
  <c r="R13" i="26"/>
  <c r="F13" i="26"/>
  <c r="R12" i="26"/>
  <c r="F12" i="26"/>
  <c r="R11" i="26"/>
  <c r="F11" i="26"/>
  <c r="R10" i="26"/>
  <c r="F10" i="26"/>
  <c r="R9" i="26"/>
  <c r="F9" i="26"/>
  <c r="R8" i="26"/>
  <c r="F8" i="26"/>
  <c r="R7" i="26"/>
  <c r="U7" i="26" s="1"/>
  <c r="F7" i="26"/>
  <c r="U6" i="26"/>
  <c r="AB6" i="26" s="1"/>
  <c r="R6" i="26"/>
  <c r="J6" i="26"/>
  <c r="F6" i="26"/>
  <c r="D14" i="35" l="1"/>
  <c r="K14" i="35" s="1"/>
  <c r="H10" i="35"/>
  <c r="G11" i="35"/>
  <c r="K10" i="35"/>
  <c r="H11" i="35" l="1"/>
  <c r="H12" i="35" s="1"/>
  <c r="H13" i="35" s="1"/>
  <c r="G12" i="35"/>
  <c r="K11" i="35" l="1"/>
  <c r="G13" i="35"/>
  <c r="K12" i="35"/>
  <c r="K13" i="35" l="1"/>
  <c r="K15" i="35" s="1"/>
  <c r="D15" i="35"/>
  <c r="K11" i="29"/>
  <c r="B25" i="29"/>
  <c r="B13" i="29"/>
  <c r="B14" i="29" s="1"/>
  <c r="B15" i="29" s="1"/>
  <c r="B16" i="29" s="1"/>
  <c r="B17" i="29" s="1"/>
  <c r="B18" i="29" s="1"/>
  <c r="B19" i="29" s="1"/>
  <c r="B20" i="29" s="1"/>
  <c r="B21" i="29" s="1"/>
  <c r="B22" i="29" s="1"/>
  <c r="K7" i="29"/>
  <c r="L7" i="29" s="1"/>
  <c r="L6" i="29"/>
  <c r="D22" i="35" l="1"/>
  <c r="B23" i="29"/>
  <c r="B24" i="29" s="1"/>
  <c r="K8" i="29"/>
  <c r="C32" i="35" l="1"/>
  <c r="H32" i="35" s="1"/>
  <c r="E22" i="41" s="1"/>
  <c r="J22" i="35"/>
  <c r="E20" i="41" s="1"/>
  <c r="K9" i="29"/>
  <c r="L8" i="29"/>
  <c r="E21" i="41" l="1"/>
  <c r="E27" i="41" s="1"/>
  <c r="E48" i="41" s="1"/>
  <c r="L9" i="29"/>
  <c r="E7" i="28" l="1"/>
  <c r="G7" i="28" l="1"/>
  <c r="H7" i="28"/>
  <c r="C9" i="28" s="1"/>
  <c r="D7" i="28"/>
  <c r="C7" i="28"/>
  <c r="B12" i="27" l="1"/>
  <c r="B13" i="27" s="1"/>
  <c r="D80" i="26"/>
  <c r="D79" i="26"/>
  <c r="X65" i="26"/>
  <c r="W65" i="26"/>
  <c r="T65" i="26"/>
  <c r="R65" i="26"/>
  <c r="Q65" i="26"/>
  <c r="V65" i="26" s="1"/>
  <c r="L65" i="26"/>
  <c r="K65" i="26"/>
  <c r="F65" i="26"/>
  <c r="E65" i="26"/>
  <c r="J65" i="26" s="1"/>
  <c r="X64" i="26"/>
  <c r="V64" i="26"/>
  <c r="AA64" i="26" s="1"/>
  <c r="AB64" i="26" s="1"/>
  <c r="U64" i="26"/>
  <c r="T64" i="26"/>
  <c r="R64" i="26"/>
  <c r="Q64" i="26"/>
  <c r="L64" i="26"/>
  <c r="F64" i="26"/>
  <c r="J64" i="26" s="1"/>
  <c r="E64" i="26"/>
  <c r="X63" i="26"/>
  <c r="T63" i="26"/>
  <c r="R63" i="26"/>
  <c r="Q63" i="26"/>
  <c r="V63" i="26" s="1"/>
  <c r="L63" i="26"/>
  <c r="K63" i="26"/>
  <c r="F63" i="26"/>
  <c r="E63" i="26"/>
  <c r="I63" i="26" s="1"/>
  <c r="X62" i="26"/>
  <c r="W62" i="26"/>
  <c r="T62" i="26"/>
  <c r="R62" i="26"/>
  <c r="Q62" i="26"/>
  <c r="V62" i="26" s="1"/>
  <c r="L62" i="26"/>
  <c r="K62" i="26"/>
  <c r="F62" i="26"/>
  <c r="E62" i="26"/>
  <c r="J62" i="26" s="1"/>
  <c r="X61" i="26"/>
  <c r="W61" i="26"/>
  <c r="V61" i="26"/>
  <c r="Y61" i="26" s="1"/>
  <c r="T61" i="26"/>
  <c r="R61" i="26"/>
  <c r="Q61" i="26"/>
  <c r="U61" i="26" s="1"/>
  <c r="L61" i="26"/>
  <c r="K61" i="26"/>
  <c r="J61" i="26"/>
  <c r="O61" i="26" s="1"/>
  <c r="P61" i="26" s="1"/>
  <c r="I61" i="26"/>
  <c r="F61" i="26"/>
  <c r="E61" i="26"/>
  <c r="X60" i="26"/>
  <c r="W60" i="26"/>
  <c r="V60" i="26"/>
  <c r="AA60" i="26" s="1"/>
  <c r="AB60" i="26" s="1"/>
  <c r="U60" i="26"/>
  <c r="T60" i="26"/>
  <c r="R60" i="26"/>
  <c r="Q60" i="26"/>
  <c r="L60" i="26"/>
  <c r="K60" i="26"/>
  <c r="F60" i="26"/>
  <c r="E60" i="26"/>
  <c r="J60" i="26" s="1"/>
  <c r="X59" i="26"/>
  <c r="T59" i="26"/>
  <c r="R59" i="26"/>
  <c r="Q59" i="26"/>
  <c r="V59" i="26" s="1"/>
  <c r="L59" i="26"/>
  <c r="F59" i="26"/>
  <c r="E59" i="26"/>
  <c r="J59" i="26" s="1"/>
  <c r="X58" i="26"/>
  <c r="V58" i="26"/>
  <c r="Y58" i="26" s="1"/>
  <c r="T58" i="26"/>
  <c r="R58" i="26"/>
  <c r="Q58" i="26"/>
  <c r="U58" i="26" s="1"/>
  <c r="L58" i="26"/>
  <c r="J58" i="26"/>
  <c r="O58" i="26" s="1"/>
  <c r="P58" i="26" s="1"/>
  <c r="I58" i="26"/>
  <c r="G58" i="26"/>
  <c r="G59" i="26" s="1"/>
  <c r="G60" i="26" s="1"/>
  <c r="G61" i="26" s="1"/>
  <c r="G62" i="26" s="1"/>
  <c r="G63" i="26" s="1"/>
  <c r="G64" i="26" s="1"/>
  <c r="G65" i="26" s="1"/>
  <c r="F58" i="26"/>
  <c r="E58" i="26"/>
  <c r="X57" i="26"/>
  <c r="W57" i="26"/>
  <c r="T57" i="26"/>
  <c r="S57" i="26"/>
  <c r="S58" i="26" s="1"/>
  <c r="S59" i="26" s="1"/>
  <c r="S60" i="26" s="1"/>
  <c r="S61" i="26" s="1"/>
  <c r="S62" i="26" s="1"/>
  <c r="S63" i="26" s="1"/>
  <c r="S64" i="26" s="1"/>
  <c r="S65" i="26" s="1"/>
  <c r="R57" i="26"/>
  <c r="V57" i="26" s="1"/>
  <c r="Q57" i="26"/>
  <c r="L57" i="26"/>
  <c r="G57" i="26"/>
  <c r="E57" i="26"/>
  <c r="I57" i="26" s="1"/>
  <c r="J57" i="26" s="1"/>
  <c r="T56" i="26"/>
  <c r="Q56" i="26"/>
  <c r="U56" i="26" s="1"/>
  <c r="V56" i="26" s="1"/>
  <c r="E56" i="26"/>
  <c r="I56" i="26" s="1"/>
  <c r="J56" i="26" s="1"/>
  <c r="T55" i="26"/>
  <c r="S55" i="26"/>
  <c r="Q55" i="26"/>
  <c r="U55" i="26" s="1"/>
  <c r="V55" i="26" s="1"/>
  <c r="I55" i="26"/>
  <c r="J55" i="26" s="1"/>
  <c r="G55" i="26"/>
  <c r="E55" i="26"/>
  <c r="T54" i="26"/>
  <c r="Q54" i="26"/>
  <c r="U54" i="26" s="1"/>
  <c r="E54" i="26"/>
  <c r="I54" i="26" s="1"/>
  <c r="G43" i="26"/>
  <c r="E42" i="26"/>
  <c r="G42" i="26" s="1"/>
  <c r="E37" i="26"/>
  <c r="E36" i="26" s="1"/>
  <c r="T17" i="26"/>
  <c r="U17" i="26"/>
  <c r="J17" i="26"/>
  <c r="O17" i="26" s="1"/>
  <c r="V16" i="26"/>
  <c r="AA16" i="26" s="1"/>
  <c r="AB16" i="26" s="1"/>
  <c r="U16" i="26"/>
  <c r="T16" i="26"/>
  <c r="S16" i="26"/>
  <c r="S17" i="26" s="1"/>
  <c r="I16" i="26"/>
  <c r="T15" i="26"/>
  <c r="V15" i="26"/>
  <c r="J15" i="26"/>
  <c r="M15" i="26" s="1"/>
  <c r="I15" i="26"/>
  <c r="T14" i="26"/>
  <c r="I14" i="26"/>
  <c r="V13" i="26"/>
  <c r="T13" i="26"/>
  <c r="U13" i="26"/>
  <c r="T12" i="26"/>
  <c r="U12" i="26"/>
  <c r="J12" i="26"/>
  <c r="M12" i="26" s="1"/>
  <c r="V11" i="26"/>
  <c r="AA11" i="26" s="1"/>
  <c r="AB11" i="26" s="1"/>
  <c r="U11" i="26"/>
  <c r="T11" i="26"/>
  <c r="J11" i="26"/>
  <c r="T10" i="26"/>
  <c r="V10" i="26"/>
  <c r="J10" i="26"/>
  <c r="I10" i="26"/>
  <c r="T9" i="26"/>
  <c r="J9" i="26"/>
  <c r="T8" i="26"/>
  <c r="V8" i="26"/>
  <c r="AA8" i="26" s="1"/>
  <c r="J8" i="26"/>
  <c r="O8" i="26" s="1"/>
  <c r="P8" i="26" s="1"/>
  <c r="I8" i="26"/>
  <c r="G8" i="26"/>
  <c r="G9" i="26" s="1"/>
  <c r="G10" i="26" s="1"/>
  <c r="G11" i="26" s="1"/>
  <c r="G12" i="26" s="1"/>
  <c r="G13" i="26" s="1"/>
  <c r="G14" i="26" s="1"/>
  <c r="G15" i="26" s="1"/>
  <c r="G16" i="26" s="1"/>
  <c r="G17" i="26" s="1"/>
  <c r="T7" i="26"/>
  <c r="S7" i="26"/>
  <c r="S8" i="26" s="1"/>
  <c r="S9" i="26" s="1"/>
  <c r="S10" i="26" s="1"/>
  <c r="S11" i="26" s="1"/>
  <c r="S12" i="26" s="1"/>
  <c r="S13" i="26" s="1"/>
  <c r="S14" i="26" s="1"/>
  <c r="S15" i="26" s="1"/>
  <c r="V7" i="26"/>
  <c r="G7" i="26"/>
  <c r="J7" i="26"/>
  <c r="V6" i="26"/>
  <c r="AA6" i="26" s="1"/>
  <c r="T6" i="26"/>
  <c r="I6" i="26"/>
  <c r="M17" i="26" l="1"/>
  <c r="O65" i="26"/>
  <c r="M65" i="26"/>
  <c r="AA63" i="26"/>
  <c r="Y63" i="26"/>
  <c r="AA57" i="26"/>
  <c r="AB57" i="26" s="1"/>
  <c r="Y57" i="26"/>
  <c r="AA62" i="26"/>
  <c r="Y62" i="26"/>
  <c r="U14" i="26"/>
  <c r="V14" i="26"/>
  <c r="AA56" i="26"/>
  <c r="AB56" i="26" s="1"/>
  <c r="Y56" i="26"/>
  <c r="AA59" i="26"/>
  <c r="Y59" i="26"/>
  <c r="M55" i="26"/>
  <c r="O55" i="26"/>
  <c r="P55" i="26" s="1"/>
  <c r="Y55" i="26"/>
  <c r="AA55" i="26"/>
  <c r="AB55" i="26" s="1"/>
  <c r="O64" i="26"/>
  <c r="P64" i="26" s="1"/>
  <c r="M64" i="26"/>
  <c r="Y8" i="26"/>
  <c r="M56" i="26"/>
  <c r="O56" i="26"/>
  <c r="P56" i="26" s="1"/>
  <c r="I13" i="26"/>
  <c r="J13" i="26"/>
  <c r="J54" i="26"/>
  <c r="O57" i="26"/>
  <c r="P57" i="26" s="1"/>
  <c r="M57" i="26"/>
  <c r="O60" i="26"/>
  <c r="P60" i="26" s="1"/>
  <c r="M60" i="26"/>
  <c r="Y13" i="26"/>
  <c r="AA13" i="26"/>
  <c r="AB13" i="26" s="1"/>
  <c r="O10" i="26"/>
  <c r="P10" i="26" s="1"/>
  <c r="M10" i="26"/>
  <c r="M59" i="26"/>
  <c r="O59" i="26"/>
  <c r="AA65" i="26"/>
  <c r="Y65" i="26"/>
  <c r="O9" i="26"/>
  <c r="M9" i="26"/>
  <c r="V9" i="26"/>
  <c r="U9" i="26"/>
  <c r="U66" i="26"/>
  <c r="V54" i="26"/>
  <c r="O7" i="26"/>
  <c r="M7" i="26"/>
  <c r="AA10" i="26"/>
  <c r="Y10" i="26"/>
  <c r="O12" i="26"/>
  <c r="Y7" i="26"/>
  <c r="AA7" i="26"/>
  <c r="O11" i="26"/>
  <c r="M11" i="26"/>
  <c r="Y15" i="26"/>
  <c r="AA15" i="26"/>
  <c r="O62" i="26"/>
  <c r="M62" i="26"/>
  <c r="U57" i="26"/>
  <c r="AA58" i="26"/>
  <c r="AB58" i="26" s="1"/>
  <c r="I60" i="26"/>
  <c r="Y64" i="26"/>
  <c r="I11" i="26"/>
  <c r="Y16" i="26"/>
  <c r="M58" i="26"/>
  <c r="AA61" i="26"/>
  <c r="AB61" i="26" s="1"/>
  <c r="I9" i="26"/>
  <c r="J16" i="26"/>
  <c r="U59" i="26"/>
  <c r="V12" i="26"/>
  <c r="J63" i="26"/>
  <c r="I7" i="26"/>
  <c r="U10" i="26"/>
  <c r="J14" i="26"/>
  <c r="V17" i="26"/>
  <c r="I59" i="26"/>
  <c r="I66" i="26" s="1"/>
  <c r="U62" i="26"/>
  <c r="U65" i="26"/>
  <c r="Y6" i="26"/>
  <c r="O15" i="26"/>
  <c r="P15" i="26" s="1"/>
  <c r="M61" i="26"/>
  <c r="U63" i="26"/>
  <c r="Y60" i="26"/>
  <c r="I62" i="26"/>
  <c r="I65" i="26"/>
  <c r="I64" i="26"/>
  <c r="M8" i="26"/>
  <c r="Y11" i="26"/>
  <c r="U8" i="26"/>
  <c r="AB8" i="26" s="1"/>
  <c r="I12" i="26"/>
  <c r="U15" i="26"/>
  <c r="I17" i="26"/>
  <c r="P17" i="26" s="1"/>
  <c r="U18" i="26" l="1"/>
  <c r="D76" i="26" s="1"/>
  <c r="P11" i="26"/>
  <c r="I18" i="26"/>
  <c r="D75" i="26" s="1"/>
  <c r="P12" i="26"/>
  <c r="J7" i="27"/>
  <c r="AA9" i="26"/>
  <c r="AB9" i="26" s="1"/>
  <c r="Y9" i="26"/>
  <c r="AA17" i="26"/>
  <c r="AB17" i="26" s="1"/>
  <c r="Y17" i="26"/>
  <c r="P9" i="26"/>
  <c r="O14" i="26"/>
  <c r="P14" i="26" s="1"/>
  <c r="M14" i="26"/>
  <c r="P59" i="26"/>
  <c r="O6" i="26"/>
  <c r="P6" i="26" s="1"/>
  <c r="M6" i="26"/>
  <c r="AA12" i="26"/>
  <c r="AB12" i="26" s="1"/>
  <c r="Y12" i="26"/>
  <c r="P7" i="26"/>
  <c r="AB63" i="26"/>
  <c r="AB7" i="26"/>
  <c r="AB65" i="26"/>
  <c r="O63" i="26"/>
  <c r="P63" i="26" s="1"/>
  <c r="M63" i="26"/>
  <c r="O13" i="26"/>
  <c r="P13" i="26" s="1"/>
  <c r="M13" i="26"/>
  <c r="AB59" i="26"/>
  <c r="AA14" i="26"/>
  <c r="AB14" i="26" s="1"/>
  <c r="Y14" i="26"/>
  <c r="AB62" i="26"/>
  <c r="AB10" i="26"/>
  <c r="M54" i="26"/>
  <c r="O54" i="26"/>
  <c r="P54" i="26" s="1"/>
  <c r="P62" i="26"/>
  <c r="M16" i="26"/>
  <c r="O16" i="26"/>
  <c r="P16" i="26" s="1"/>
  <c r="AB15" i="26"/>
  <c r="AA54" i="26"/>
  <c r="AB54" i="26" s="1"/>
  <c r="Y54" i="26"/>
  <c r="P65" i="26"/>
  <c r="P18" i="26" l="1"/>
  <c r="D77" i="26"/>
  <c r="AB18" i="26"/>
  <c r="AB66" i="26"/>
  <c r="P66" i="26"/>
  <c r="Q11" i="22" l="1"/>
  <c r="R11" i="22" s="1"/>
  <c r="E69" i="41" l="1"/>
  <c r="E72" i="41" s="1"/>
  <c r="H73" i="41" s="1"/>
  <c r="E69" i="45"/>
  <c r="E72" i="45" s="1"/>
  <c r="H73" i="45" l="1"/>
  <c r="E73" i="45"/>
  <c r="F8" i="42" l="1"/>
  <c r="H8" i="42" s="1"/>
  <c r="I8" i="42" s="1"/>
  <c r="F8" i="43"/>
  <c r="G8" i="43" s="1"/>
  <c r="F7" i="42"/>
  <c r="H7" i="42" s="1"/>
  <c r="I7" i="42" s="1"/>
  <c r="F7" i="43"/>
  <c r="C7" i="27" l="1"/>
  <c r="K7" i="27" s="1"/>
  <c r="I9" i="42"/>
  <c r="J8" i="42" s="1"/>
  <c r="G8" i="42"/>
  <c r="G7" i="42"/>
  <c r="G9" i="42" s="1"/>
  <c r="G11" i="42" s="1"/>
  <c r="G12" i="42" s="1"/>
  <c r="G13" i="42" s="1"/>
  <c r="G24" i="42" s="1"/>
  <c r="G7" i="43"/>
  <c r="G9" i="43" s="1"/>
  <c r="G11" i="43" s="1"/>
  <c r="G12" i="43" s="1"/>
  <c r="H39" i="43" s="1"/>
  <c r="L7" i="43"/>
  <c r="M7" i="43" s="1"/>
  <c r="K7" i="42" l="1"/>
  <c r="L7" i="42" s="1"/>
  <c r="G13" i="43"/>
  <c r="G24" i="43" s="1"/>
  <c r="H31" i="43" s="1"/>
  <c r="H36" i="43" s="1"/>
  <c r="H37" i="43" s="1"/>
  <c r="G17" i="42"/>
  <c r="G15" i="42"/>
  <c r="G16" i="42"/>
  <c r="M9" i="43"/>
  <c r="N9" i="43" s="1"/>
  <c r="N10" i="43" s="1"/>
  <c r="N7" i="43"/>
  <c r="J7" i="42"/>
  <c r="J9" i="42" s="1"/>
  <c r="G18" i="42" l="1"/>
  <c r="G27" i="42" s="1"/>
  <c r="H32" i="43"/>
  <c r="H34" i="43" s="1"/>
  <c r="I25" i="43"/>
  <c r="G17" i="43"/>
  <c r="G15" i="43"/>
  <c r="G16" i="43"/>
  <c r="H33" i="43" l="1"/>
  <c r="G18" i="43"/>
  <c r="G27" i="43" s="1"/>
  <c r="H35" i="43"/>
  <c r="H38" i="43" s="1"/>
  <c r="J39" i="43" s="1"/>
</calcChain>
</file>

<file path=xl/sharedStrings.xml><?xml version="1.0" encoding="utf-8"?>
<sst xmlns="http://schemas.openxmlformats.org/spreadsheetml/2006/main" count="6895" uniqueCount="1209">
  <si>
    <t>Dados retirados do Recibo
EFD - Contribuições</t>
  </si>
  <si>
    <t>Contribuição Social</t>
  </si>
  <si>
    <t>PIS</t>
  </si>
  <si>
    <t>COFINS</t>
  </si>
  <si>
    <t>Nº</t>
  </si>
  <si>
    <t>Mês</t>
  </si>
  <si>
    <t>A</t>
  </si>
  <si>
    <t>B</t>
  </si>
  <si>
    <t>C</t>
  </si>
  <si>
    <t>D</t>
  </si>
  <si>
    <t>E</t>
  </si>
  <si>
    <t>F</t>
  </si>
  <si>
    <t>G</t>
  </si>
  <si>
    <t>H</t>
  </si>
  <si>
    <t>Tipo de Incidência</t>
  </si>
  <si>
    <t>Efetua-se cálculo Reverso para encontrar o Faturamento</t>
  </si>
  <si>
    <t>Faturamento Mensal
A</t>
  </si>
  <si>
    <t>Contribuição Apurada
B = A x 1,65% ou 
B = A x 0,65%</t>
  </si>
  <si>
    <t>Crédito Descontado
C</t>
  </si>
  <si>
    <t>Contribuição a Recolher
E = B - C -D</t>
  </si>
  <si>
    <t>Outras Deduções
(***)
F</t>
  </si>
  <si>
    <t>PIS - Efet. Devido
G = B - C- F</t>
  </si>
  <si>
    <t>Percentual Efetivo
H = G/A</t>
  </si>
  <si>
    <t>Contribuição Apurada
B = A x 7,60% ou
B = A x 3,00%</t>
  </si>
  <si>
    <t>COFINS - Efet. Devida
G = B - C - F</t>
  </si>
  <si>
    <t>Percentual
Efetivo
H = G / A</t>
  </si>
  <si>
    <t>Não Cumulativa</t>
  </si>
  <si>
    <t>PIS = FAT*1,65%</t>
  </si>
  <si>
    <t>FAT(A) = PIS (B)/1,65%</t>
  </si>
  <si>
    <t>COFINS = FAT*7,60%</t>
  </si>
  <si>
    <t>FAT(A) = COFINS (B)/7,60%</t>
  </si>
  <si>
    <t>Cumulativa</t>
  </si>
  <si>
    <t>PIS = FAT * 0,65%</t>
  </si>
  <si>
    <t>FAT(A) = PIS (B) / 0,65%</t>
  </si>
  <si>
    <t>COFINS = FAT*3,0%</t>
  </si>
  <si>
    <t>FAT (A) = COFINS (B)/3,0%</t>
  </si>
  <si>
    <t>Total (*)</t>
  </si>
  <si>
    <t>Média Encontrada para o PIS (**)</t>
  </si>
  <si>
    <t>Média Encontrada para a COFINS (**)</t>
  </si>
  <si>
    <t>Obs.</t>
  </si>
  <si>
    <t>(*)</t>
  </si>
  <si>
    <t xml:space="preserve">Cálculo Obrigatório para as empresas tributadas pelo Lucro Presumido ou Lucro Real </t>
  </si>
  <si>
    <t>(**)</t>
  </si>
  <si>
    <t>Cálculo Obrigatório para as empresas submetidas à incidência não cumulativa de PIS e COFINS</t>
  </si>
  <si>
    <t>(***)</t>
  </si>
  <si>
    <t>Caso a licitante deseje contemplar em seus cálculos a coluna de outras deduções, essa deverá apresentar além dos recibos do EFD - Contribuições,  o relatório de "Consolidação da Contribuição para o PIS e COFINS",  emitido pelo EFD-Contribuições, para o mês de competência da dedução.</t>
  </si>
  <si>
    <t xml:space="preserve">item </t>
  </si>
  <si>
    <t>9.3.2.4</t>
  </si>
  <si>
    <t>ac tcu 2622/2013</t>
  </si>
  <si>
    <t>p.76</t>
  </si>
  <si>
    <t>Retenções 
D</t>
  </si>
  <si>
    <t>Retenções
D</t>
  </si>
  <si>
    <t>Fundamento do Mecanismo</t>
  </si>
  <si>
    <t>Descrição</t>
  </si>
  <si>
    <t>Quantidade</t>
  </si>
  <si>
    <t>Total</t>
  </si>
  <si>
    <t>ITEM</t>
  </si>
  <si>
    <t>UNID.</t>
  </si>
  <si>
    <t>Mediana</t>
  </si>
  <si>
    <t>Média</t>
  </si>
  <si>
    <t>Tipo</t>
  </si>
  <si>
    <t>Especificações</t>
  </si>
  <si>
    <t>DESCRIÇÃO</t>
  </si>
  <si>
    <t>PERCENTUAL</t>
  </si>
  <si>
    <t>VALOR (R$)</t>
  </si>
  <si>
    <t>Módulo 1: Composição da Remuneração</t>
  </si>
  <si>
    <t>Adicional de Insalubridade</t>
  </si>
  <si>
    <t>Adicional Noturno</t>
  </si>
  <si>
    <t>Hora Noturna Adicional</t>
  </si>
  <si>
    <t>Adicional de Hora Extra</t>
  </si>
  <si>
    <t>Transporte</t>
  </si>
  <si>
    <t>Uniformes</t>
  </si>
  <si>
    <t>CNAE</t>
  </si>
  <si>
    <t>RAT</t>
  </si>
  <si>
    <t>FPAS</t>
  </si>
  <si>
    <t>Descrição da Atividade</t>
  </si>
  <si>
    <t>13º Salário</t>
  </si>
  <si>
    <t>Adicional de Férias</t>
  </si>
  <si>
    <t>Aviso Prévio Indenizado</t>
  </si>
  <si>
    <t>Multa do FGTS para Rescisão sem justa Causa</t>
  </si>
  <si>
    <t>Indenização Adicional</t>
  </si>
  <si>
    <t>Reposição relativa a Férias</t>
  </si>
  <si>
    <t>Reposição referente a Licença Paternidade</t>
  </si>
  <si>
    <t>Reposição devido a concessão de Aviso Prévio Trabalhado</t>
  </si>
  <si>
    <t>ISS</t>
  </si>
  <si>
    <t>P1=Po/(1-To)</t>
  </si>
  <si>
    <t>nº</t>
  </si>
  <si>
    <t>Segunda</t>
  </si>
  <si>
    <t>Terça</t>
  </si>
  <si>
    <t xml:space="preserve">Quarta </t>
  </si>
  <si>
    <t>Quinta</t>
  </si>
  <si>
    <t>Sexta</t>
  </si>
  <si>
    <t xml:space="preserve">Sábado </t>
  </si>
  <si>
    <t>Domingo</t>
  </si>
  <si>
    <t>dias ef. Trab:</t>
  </si>
  <si>
    <t>Posto</t>
  </si>
  <si>
    <t>Cidade Satélite ou entorno até a rodoviária</t>
  </si>
  <si>
    <t>Rodoviária até cidade satélite ou entorno</t>
  </si>
  <si>
    <t>Valor diário</t>
  </si>
  <si>
    <t>Valor Mensal</t>
  </si>
  <si>
    <t>Rodoviária até  Órgão</t>
  </si>
  <si>
    <t>Órgão até rodoviária</t>
  </si>
  <si>
    <t>Dias Efetivamente Trabalhados</t>
  </si>
  <si>
    <t>Vale alimentação¹</t>
  </si>
  <si>
    <t>Percentual de Contribuição</t>
  </si>
  <si>
    <t>DISCRIMINAÇÃO</t>
  </si>
  <si>
    <t>PREÇO UNITÁRIO</t>
  </si>
  <si>
    <t>T0</t>
  </si>
  <si>
    <t>Vt</t>
  </si>
  <si>
    <t>P1</t>
  </si>
  <si>
    <t>BDI</t>
  </si>
  <si>
    <t>Contribuição Assistencial Patronal</t>
  </si>
  <si>
    <t>Planilha de Custo e Formação de Preços  - Posto de Serviço com dedicação exclusiva de mão de obra</t>
  </si>
  <si>
    <t>Salário-Base</t>
  </si>
  <si>
    <t xml:space="preserve">Adicional de Periculosidade </t>
  </si>
  <si>
    <t>Subtotal da Remuneração para incidência das contribuções sociais e custos trabalhistas:</t>
  </si>
  <si>
    <t xml:space="preserve">Verbas de natureza indenizatória </t>
  </si>
  <si>
    <t xml:space="preserve">Indenização por Intervalo Intrajornada não concedido </t>
  </si>
  <si>
    <t>Total da Remuneração – Módulo 1:</t>
  </si>
  <si>
    <t>Módulo 2: Encargos e Benefícios Anuais, Mensais e Diários</t>
  </si>
  <si>
    <t>Submódulo 2.1 – Benefícios Mensais e Diários:</t>
  </si>
  <si>
    <t>Desconto Legal do Vale-Transporte (6% salário-base)</t>
  </si>
  <si>
    <t>Auxílio-Alimentação</t>
  </si>
  <si>
    <t>Total de Benefícios Mensais e Diários - Submódulo 2.1:</t>
  </si>
  <si>
    <t>Submódulo 2.2 – Encargos Previdenciários, FGTS e outras contribuições:</t>
  </si>
  <si>
    <r>
      <rPr>
        <b/>
        <sz val="20"/>
        <color theme="1"/>
        <rFont val="Arial Narrow"/>
        <family val="2"/>
      </rPr>
      <t>INSS</t>
    </r>
    <r>
      <rPr>
        <sz val="20"/>
        <color theme="1"/>
        <rFont val="Arial Narrow"/>
        <family val="2"/>
      </rPr>
      <t xml:space="preserve"> (Lei nº 8.212/91, art. 22, inciso I)</t>
    </r>
  </si>
  <si>
    <r>
      <rPr>
        <b/>
        <sz val="20"/>
        <color theme="1"/>
        <rFont val="Arial Narrow"/>
        <family val="2"/>
      </rPr>
      <t>INCRA</t>
    </r>
    <r>
      <rPr>
        <sz val="20"/>
        <color theme="1"/>
        <rFont val="Arial Narrow"/>
        <family val="2"/>
      </rPr>
      <t xml:space="preserve"> (Decreto-Lei nº 1.146/70 e Lei nº 2.613/55)</t>
    </r>
  </si>
  <si>
    <r>
      <rPr>
        <b/>
        <sz val="20"/>
        <color theme="1"/>
        <rFont val="Arial Narrow"/>
        <family val="2"/>
      </rPr>
      <t>Salário Educação</t>
    </r>
    <r>
      <rPr>
        <sz val="20"/>
        <color theme="1"/>
        <rFont val="Arial Narrow"/>
        <family val="2"/>
      </rPr>
      <t xml:space="preserve"> (Lei 9.424/96, art.15, Lei nº 9.766/98 e Decreto nº 6.003/06, art 2º)</t>
    </r>
  </si>
  <si>
    <r>
      <rPr>
        <b/>
        <sz val="20"/>
        <rFont val="Arial Narrow"/>
        <family val="2"/>
      </rPr>
      <t>FGTS</t>
    </r>
    <r>
      <rPr>
        <sz val="20"/>
        <rFont val="Arial Narrow"/>
        <family val="2"/>
      </rPr>
      <t xml:space="preserve"> (Lei nº 8.036/90, art.15)</t>
    </r>
  </si>
  <si>
    <r>
      <rPr>
        <b/>
        <sz val="20"/>
        <color theme="1"/>
        <rFont val="Arial Narrow"/>
        <family val="2"/>
      </rPr>
      <t>SEBRAE</t>
    </r>
    <r>
      <rPr>
        <sz val="20"/>
        <color theme="1"/>
        <rFont val="Arial Narrow"/>
        <family val="2"/>
      </rPr>
      <t xml:space="preserve"> (Lei nº 8.029/90, art. 8º, alterado pelas Leis nºs: 8.154/90 e 11.080/04)</t>
    </r>
  </si>
  <si>
    <t>Total Encargos Previdenciários, FGTS e outras contribuições - Submódulo 2.2:</t>
  </si>
  <si>
    <t>Submódulo 2.3 – 13º Salário e Adicional de Férias</t>
  </si>
  <si>
    <t>Incidência do submódulo 2.2 sobre 13º Salário e Adicional de Férias</t>
  </si>
  <si>
    <t>Inc. Multa do FGTS rescisão sem justa causa sobre 13º e Adicional de Férias</t>
  </si>
  <si>
    <t>Total 13º Salário e Adicional de Férias – Submódulo 2.3:</t>
  </si>
  <si>
    <t>Submódulo 2.4 – Afastamento-Maternidade:</t>
  </si>
  <si>
    <t>Férias Proporcionais ao Afastamento-Maternidade</t>
  </si>
  <si>
    <t>Incidência do submódulo 2.2 sobre as Férias Proporcionais</t>
  </si>
  <si>
    <t>Total Afastamento-Maternidade – Submódulo 2.4:</t>
  </si>
  <si>
    <t>Total dos Encargos e Benefícios Anuais, Mensais e Diários - Módulo 2:</t>
  </si>
  <si>
    <t>Módulo 3: Provisão para Rescisão</t>
  </si>
  <si>
    <t>Total da Provisão para Rescisão – Módulo 3:</t>
  </si>
  <si>
    <t>Módulo 4 – Custo de Reposição do Profissional Ausente</t>
  </si>
  <si>
    <t>Reposição referente a Licença-Paternidade</t>
  </si>
  <si>
    <t>Reposição em razão de outras ausências legais</t>
  </si>
  <si>
    <t>Total do Custo de Reposição do Profissional Ausente – Módulo 4:</t>
  </si>
  <si>
    <t>Módulo 5: Insumos Diversos</t>
  </si>
  <si>
    <t>Equipamentos a serem compartilhados entre os diversos turnos de execução</t>
  </si>
  <si>
    <t>Equipamentos individulizados por profissional do posto</t>
  </si>
  <si>
    <t>Total de Insumos Diversos – Módulo 5:</t>
  </si>
  <si>
    <t>Módulo 02 - Encargos e Benefícios Anuais, Mensais e Diários</t>
  </si>
  <si>
    <t>Submódulo 2.2 - Encargos Previdenciários, FGTS e outras contribuições</t>
  </si>
  <si>
    <t>%</t>
  </si>
  <si>
    <t>FAP</t>
  </si>
  <si>
    <t>Submódulo 2.2 - Encargos Previdenciários, FGTS e outras contribuições:</t>
  </si>
  <si>
    <t>Submódulo 2.3 - 13º Salário e Adiconal de Férias</t>
  </si>
  <si>
    <t>Gratificação de Natal, instituída pela Lei nº 4.090, de 13 de julho de 1962.</t>
  </si>
  <si>
    <t xml:space="preserve">÷ </t>
  </si>
  <si>
    <t>Artigos 7º, XVII, da CF/88 e Arts. 129 a 153 da CLT.</t>
  </si>
  <si>
    <t>÷</t>
  </si>
  <si>
    <t>Subtotal</t>
  </si>
  <si>
    <t>x</t>
  </si>
  <si>
    <t>Submódulo 2.3 - 13º Salário e Adiconal de Férias:</t>
  </si>
  <si>
    <t>Férias Proporcionais relativas ao afastamento maternidade</t>
  </si>
  <si>
    <t>Art. 7º, Inciso XVIII da CF, Lei 8.212/91, 10.421/02</t>
  </si>
  <si>
    <t>Incidência do sub módulo 2.2 sobre as férias proporcionais</t>
  </si>
  <si>
    <t>Submódulo 2.4 - Afastamento Maternidade:</t>
  </si>
  <si>
    <t>Módulo 3 - Provisão para Rescisão</t>
  </si>
  <si>
    <t>(</t>
  </si>
  <si>
    <t>)</t>
  </si>
  <si>
    <t>13º e Férias sobre aviso prévio indenizado</t>
  </si>
  <si>
    <t>+</t>
  </si>
  <si>
    <t>Multa do FGTS (Indenização nas rescisões sem justa causa)</t>
  </si>
  <si>
    <t>Módulo 4 - Custo de Reposição do Profissional Ausente</t>
  </si>
  <si>
    <t>Incidência do submódulos 2.3, 2.4 e módulo 3 sobre o Custo de Reposição</t>
  </si>
  <si>
    <t>QUADRO RESUMO  - CONTRIBUIÇÕES SOCIAIS E CUSTOS TRABALHISTAS</t>
  </si>
  <si>
    <t>Total percentual das contribuições sociais e custos trabalhistas</t>
  </si>
  <si>
    <t xml:space="preserve"> Decreto Distrital nº 40.381/2020</t>
  </si>
  <si>
    <t xml:space="preserve">INSS (Art. 22, Inciso I, da Lei nº. 8.212/91) </t>
  </si>
  <si>
    <t>INCRA (Decreto-Lei nº 1.146/70, Lei nº. 2.613/55)</t>
  </si>
  <si>
    <t>Salário Educação (Lei 9.424/96, 9.766/98, Decreto 6.003/06 e Art. 212 § 5º CF)</t>
  </si>
  <si>
    <t>FGTS (Art. 15 da Lei nº 8.036/90, Art. 7º, § 3º da CF)</t>
  </si>
  <si>
    <t xml:space="preserve">SEBRAE (Lei nº 8.029/90, art. 8º, alterados pelas Leis nºs: 8.154/90 e 11.080/04) </t>
  </si>
  <si>
    <t>Incidência do submódulo 2.2 sobre 13º e adicional de férias</t>
  </si>
  <si>
    <t>Submódulo 2.4 - Afastamento Maternidade ¹</t>
  </si>
  <si>
    <t>¹ Cáculo conforme RE 576967 e Solução de Consulta RFB Cosit nº 127/2021</t>
  </si>
  <si>
    <t xml:space="preserve">Observa-se que os encargos sociais do Submódulo 2.2 referente a parcela do Aviso Prévio Indenizado incide apenas sobre o reflexo no 13º salário (gratificação natalina), conforme as seguintes Soluções de Consulta da Receita Federal: SOLUÇÃO DE CONSULTA DISIT/SRRF04 Nº 4013, DE 08 DE JUNHO DE 2017 ; SOLUÇÃO DE CONSULTA DISIT/SRRF03 Nº 3008, DE 03 DE AGOSTO DE 2017; e SOLUÇÃO DE CONSULTA DISIT/SRRF04 Nº 4021, DE 22 DE MARÇO DE 2019. </t>
  </si>
  <si>
    <t>Leis n.ºs 8.036/1990 e 9.491/1997, considerando que ao término do contrato 100% dos empregados terão rescisões sem justa causa. Observe-se que o art. 12 da Lei nº 13.932/2019 extinguiu, a partir de 1º de janeiro de 2020, a contribuição social instituída por meio do art. 1º da Lei Complementar nº 110/2001.</t>
  </si>
  <si>
    <t>Indenização Adicional. Fundamento Legal: Artigo 9º da Lei n.º 7.238/1984.</t>
  </si>
  <si>
    <t>O título férias do Módulo 4 refere-se ao provisonamento de 1/12 avos do salário mensal do posto para reposição da mão-de-obra na ocorrência do evento férias</t>
  </si>
  <si>
    <t>Subtotal de A a D</t>
  </si>
  <si>
    <t>Incidência do submódulo 2.2 sobre o Custo de Reposição (A a D)</t>
  </si>
  <si>
    <t>Reposição relativa à Ausência por doença</t>
  </si>
  <si>
    <t>Reposição relativa à Ausência por Acidente de Trabalho</t>
  </si>
  <si>
    <t>Segundo a Solução de Consulta RFB COSIT nº 25/2022 - "Assim, em atenção à decisão proferida sob o rito de recursos repetitivos pelo Superior Tribinal de Justiça (STJ) no Recurso Especial nº 1.230.957/RS, o Parecer SEI nº 1446/2021/ME, foi aprovado pelo Procurador-Geral da Fazenda Nacional através do Despacho nº 40/2021/PGFN-ME, em 2 de fevereiro de 2021. Diante do exposto, a RFB passou a vincular-se ao entendimento judicial que reconhece que a contribuição previdenciária patronal não incide sobre a importância paga pelo empregador ao empregado nos quinze primeiros dias que antecedem o auxílio-doença".</t>
  </si>
  <si>
    <t>Subtotal A a D e F a G</t>
  </si>
  <si>
    <r>
      <t>SENAI</t>
    </r>
    <r>
      <rPr>
        <sz val="20"/>
        <color theme="1"/>
        <rFont val="Arial Narrow"/>
        <family val="2"/>
      </rPr>
      <t xml:space="preserve"> (Decreto Lei nº 4.048/42) ou </t>
    </r>
    <r>
      <rPr>
        <b/>
        <sz val="20"/>
        <color theme="1"/>
        <rFont val="Arial Narrow"/>
        <family val="2"/>
      </rPr>
      <t>SENAC</t>
    </r>
    <r>
      <rPr>
        <sz val="20"/>
        <color theme="1"/>
        <rFont val="Arial Narrow"/>
        <family val="2"/>
      </rPr>
      <t xml:space="preserve"> (Decreto Lei nº 8.621/46) ou </t>
    </r>
    <r>
      <rPr>
        <b/>
        <sz val="20"/>
        <color theme="1"/>
        <rFont val="Arial Narrow"/>
        <family val="2"/>
      </rPr>
      <t>SENAT</t>
    </r>
    <r>
      <rPr>
        <sz val="20"/>
        <color theme="1"/>
        <rFont val="Arial Narrow"/>
        <family val="2"/>
      </rPr>
      <t xml:space="preserve"> (art. 7º da Lei nº 8.706/93)</t>
    </r>
  </si>
  <si>
    <r>
      <rPr>
        <b/>
        <sz val="20"/>
        <color theme="1"/>
        <rFont val="Arial Narrow"/>
        <family val="2"/>
      </rPr>
      <t>RAT</t>
    </r>
    <r>
      <rPr>
        <sz val="20"/>
        <color theme="1"/>
        <rFont val="Arial Narrow"/>
        <family val="2"/>
      </rPr>
      <t xml:space="preserve"> X </t>
    </r>
    <r>
      <rPr>
        <b/>
        <sz val="20"/>
        <color theme="1"/>
        <rFont val="Arial Narrow"/>
        <family val="2"/>
      </rPr>
      <t>FAP</t>
    </r>
    <r>
      <rPr>
        <sz val="20"/>
        <color theme="1"/>
        <rFont val="Arial Narrow"/>
        <family val="2"/>
      </rPr>
      <t xml:space="preserve"> (Lei nº 8.212/91, art. 22, inciso II e Lei nº 10.666/03, art. 10)</t>
    </r>
  </si>
  <si>
    <t>Reposição relativa à Ausência por Doença</t>
  </si>
  <si>
    <t>Incidência dos submódulos 2.3, 2.4 e Módulo 3 sobre o Custo de Reposição</t>
  </si>
  <si>
    <t>Total de Encargos Sociais e Trabalhistas constantes dos Módulos 2 (2.2, 2.3 e 2.4), 3 e 4:</t>
  </si>
  <si>
    <t>Fonte dos Dados</t>
  </si>
  <si>
    <t>Valor Considerado</t>
  </si>
  <si>
    <t>Incidência do FGTS do aviso prévio indenizado</t>
  </si>
  <si>
    <t>Incidência do FGTS sobre o aviso prévio indenizado</t>
  </si>
  <si>
    <r>
      <t xml:space="preserve">Incid. do submódulo 2.2 </t>
    </r>
    <r>
      <rPr>
        <b/>
        <sz val="20"/>
        <rFont val="Arial Narrow"/>
        <family val="2"/>
      </rPr>
      <t>sem FGTS</t>
    </r>
    <r>
      <rPr>
        <sz val="20"/>
        <rFont val="Arial Narrow"/>
        <family val="2"/>
      </rPr>
      <t xml:space="preserve"> sobre o reflexo do aviso prévio indenizado no 13º</t>
    </r>
  </si>
  <si>
    <t>Enfermeiro(a)</t>
  </si>
  <si>
    <t>Vale-Transporte</t>
  </si>
  <si>
    <t>Dias Efetivamente Trabalhados por mês</t>
  </si>
  <si>
    <t>¹ As licitantes poderão cotar valores inferiores para o Vale-Transporte, o que não exime o cumprimento do disposto na Lei nº 7.418/85.</t>
  </si>
  <si>
    <t>Origem - consulta site ANTT - Trecho - Águas Lindas (GO) para Brasília (DF)</t>
  </si>
  <si>
    <t>Localidades</t>
  </si>
  <si>
    <t>A localidade de Brasília/DF inclui Asa Sul, Asa Norte, Lago Sul, Lago Norte, Noroeste, Sudoeste, SIA, SIG, SAAN, Cruzeiro e Octogonal</t>
  </si>
  <si>
    <t>Tarifas:</t>
  </si>
  <si>
    <t>Dados Operacionais</t>
  </si>
  <si>
    <t>EMPRESA</t>
  </si>
  <si>
    <t>CNPJ</t>
  </si>
  <si>
    <t>PREFIXO     LINHA</t>
  </si>
  <si>
    <t>TIPO DE SERVIÇO</t>
  </si>
  <si>
    <t>UF origem</t>
  </si>
  <si>
    <t>UF destino</t>
  </si>
  <si>
    <t>Tipo de Outorga</t>
  </si>
  <si>
    <t>Observações</t>
  </si>
  <si>
    <t>AUTO VIAÇÃO BRAGANÇA LTDA</t>
  </si>
  <si>
    <t>45.605.755/0001-58</t>
  </si>
  <si>
    <t>AGUAS DE LINDÓIA/SP - MONTE SIÃO/MG</t>
  </si>
  <si>
    <t>SP</t>
  </si>
  <si>
    <t>MG</t>
  </si>
  <si>
    <t>Autorização Especial</t>
  </si>
  <si>
    <t>-</t>
  </si>
  <si>
    <t>AUTO VIAÇÃO CAMBUI LTDA</t>
  </si>
  <si>
    <t>19.339.415/0001-12</t>
  </si>
  <si>
    <t>EXTREMA/MG - BRAGANÇA PAULISTA/SP</t>
  </si>
  <si>
    <t>EXTREMA</t>
  </si>
  <si>
    <t>03.339.033/0001-59</t>
  </si>
  <si>
    <t>BARRA DO GARÇA/MT - ARAGARÇAS/GO, VIA VILA CEARÁ</t>
  </si>
  <si>
    <t>MT</t>
  </si>
  <si>
    <t>GO</t>
  </si>
  <si>
    <t>BARRA DO GARÇA/MT - ARAGARÇAS/GO, VIA BELA VISTA</t>
  </si>
  <si>
    <t>BARRA DO GARÇA/MT - ARAGARÇAS/GO, VIA CURTUME</t>
  </si>
  <si>
    <t>INATIVA</t>
  </si>
  <si>
    <t>EMPRESA PRINCESA DO NORTE S/A</t>
  </si>
  <si>
    <t>81.159.857/0001-50</t>
  </si>
  <si>
    <t>PLATINA SHOPPING – OURINHOS VIA ROD. S. A. PLATINA, JACAREZINHO E PONTE NOVA</t>
  </si>
  <si>
    <t>PR</t>
  </si>
  <si>
    <t>OURINHOS</t>
  </si>
  <si>
    <t>PLATINA SHOPPING – OURINHOS VIA ROD. S. A. PLATINA, JACAREZINHO E PONTE VELHA</t>
  </si>
  <si>
    <r>
      <t>ROD. S. A. PLATINA – OURINHOS VIA JACAREZINHO E PONTE NOVA</t>
    </r>
    <r>
      <rPr>
        <sz val="12"/>
        <color rgb="FF000000"/>
        <rFont val="Times New Roman"/>
        <family val="1"/>
      </rPr>
      <t xml:space="preserve"> </t>
    </r>
  </si>
  <si>
    <r>
      <t>ROD. JACAREZINHO – OURINHOS VIA MARQUÊS DOS REIS E PONTE NOVA</t>
    </r>
    <r>
      <rPr>
        <sz val="12"/>
        <color rgb="FF000000"/>
        <rFont val="Times New Roman"/>
        <family val="1"/>
      </rPr>
      <t xml:space="preserve"> </t>
    </r>
  </si>
  <si>
    <t>JACAREZINHO</t>
  </si>
  <si>
    <t>EXPRESSO ADAMANTINA LTDA</t>
  </si>
  <si>
    <t>43.004.159/0001-97</t>
  </si>
  <si>
    <t>ANDRADINA/SP - TRES LAGOAS/MS</t>
  </si>
  <si>
    <t>ANDRADINA</t>
  </si>
  <si>
    <t>TRES LAGOAS</t>
  </si>
  <si>
    <t>MS</t>
  </si>
  <si>
    <t>CASTILHO</t>
  </si>
  <si>
    <t>04.257.238/0001-58</t>
  </si>
  <si>
    <t>PETROLINA</t>
  </si>
  <si>
    <t>PE</t>
  </si>
  <si>
    <t>JUAZEIRO</t>
  </si>
  <si>
    <t>BA</t>
  </si>
  <si>
    <t>PETROLINA (PE) - JUAZEIRO (BA)</t>
  </si>
  <si>
    <t>45.992.724/0001-05</t>
  </si>
  <si>
    <t>ANDRADAS(MG) - SAO JOAO DA BOA VISTA(SP) Via S.A.JARDIM</t>
  </si>
  <si>
    <t>ANDRADAS</t>
  </si>
  <si>
    <t>SAO JOAO DA BOA VISTA</t>
  </si>
  <si>
    <t>TRANSPORTES ALÉM PARAÍBA LTDA.</t>
  </si>
  <si>
    <t>16.609.919/0001-17</t>
  </si>
  <si>
    <t>JAMAPARA/RJ - ALEM PARAIBA/MG</t>
  </si>
  <si>
    <t>JAMAPARA</t>
  </si>
  <si>
    <t>RJ</t>
  </si>
  <si>
    <t>ALEM PARAIBA</t>
  </si>
  <si>
    <t>VIAÇÃO PROGRESSO S/A</t>
  </si>
  <si>
    <t>32.404.063/0001-08</t>
  </si>
  <si>
    <t>TRES RIOS/RJ - CHIADOR/MG</t>
  </si>
  <si>
    <t>TRES RIOS</t>
  </si>
  <si>
    <t>CHIADOR</t>
  </si>
  <si>
    <t>SANTA FE</t>
  </si>
  <si>
    <t>PENHA LONGA</t>
  </si>
  <si>
    <t>ESTACAO DE CHIADOR</t>
  </si>
  <si>
    <t>13.838.047/0001-70</t>
  </si>
  <si>
    <t>LUZIANIA</t>
  </si>
  <si>
    <t>BRASILIA</t>
  </si>
  <si>
    <t>DF</t>
  </si>
  <si>
    <t>GAMA</t>
  </si>
  <si>
    <t>AMAZÔNIA INTER TURISMO</t>
  </si>
  <si>
    <t>12.647.487/0001-88</t>
  </si>
  <si>
    <t>FORMOSA</t>
  </si>
  <si>
    <t>PLANALTINA</t>
  </si>
  <si>
    <t>PLANALTINA (GO)  PLANO PILOTO/DF VIA BARROLÃNDIA EIXO W NORTE/SUL</t>
  </si>
  <si>
    <t>SOBRADINHO</t>
  </si>
  <si>
    <t>KANDANGO (CATEDRAL TURISMO)</t>
  </si>
  <si>
    <t>03.233.439/0001-52</t>
  </si>
  <si>
    <t>JARDIM INGÁ - ROD. PLANO PILOTO VIA VIA PARKSHOPPING</t>
  </si>
  <si>
    <t>JARDIM INGÁ - ROD. PLANO PILOTO VIA VIA PARKSHOPPING/P.E.D. 10</t>
  </si>
  <si>
    <t>JARDIM INGÁ - ROD. PLANO PILOTO VIA VIA EIXO W /P.E.D. 08</t>
  </si>
  <si>
    <t>JARDIM INGÁ - ROD. PLANO PILOTO VIA VIA PARKSHOPPING/P.E.D. 8</t>
  </si>
  <si>
    <t>SOL NASCENTE - ROD. PLANO PILOTO VIA VIA EIXO W / ZOOLOGICO</t>
  </si>
  <si>
    <t>JARDIM INGÁ - ESPLANADA VIA JARDIM MARILIA / VIA EIXO W</t>
  </si>
  <si>
    <t>JARDIM INGÁ - ROD. PLANO PILOTO VIA JARDIM MARILIA / VIA EIXO W</t>
  </si>
  <si>
    <t>JARDIM INGÁ - ROD. PLANO PILOTO VIA JARDIM ZULEICA VIA EIXO W</t>
  </si>
  <si>
    <t>6051E</t>
  </si>
  <si>
    <t>6052E</t>
  </si>
  <si>
    <t>JARDIM INGÁ - W3 NORTE E SUL, VIA PARKSHOPPING/EPIG/SETOR POLICIAL</t>
  </si>
  <si>
    <t>JARDIM INGÁ - W3 NORTE VIA SETOR GRÁFICO / P.E.D. 08</t>
  </si>
  <si>
    <t>6071E</t>
  </si>
  <si>
    <t>JARDIM INGÁ - W3 SUL E NORTE VIA VIA PARKSHOPPING/P.E.D. 8</t>
  </si>
  <si>
    <t>6073E</t>
  </si>
  <si>
    <t>6074E</t>
  </si>
  <si>
    <t>6075E</t>
  </si>
  <si>
    <t>JARDIM INGÁ - S I A/SAAN</t>
  </si>
  <si>
    <t>6302E</t>
  </si>
  <si>
    <t>SOL NASCENTE - S I A/ SAAN, VIA PARKSHOPPING</t>
  </si>
  <si>
    <t>JARDIM INGÁ - S I G VIA EPIG</t>
  </si>
  <si>
    <t>JARDIM INGÁ - TAGUATINGA VIA P.E.D. 10/ PISTÃO SUL/ROD. TAGUATINGA</t>
  </si>
  <si>
    <t>TAGUATINGA</t>
  </si>
  <si>
    <t>JARDIM INGÁ - GAMA CENTRO, VIA SETOR SUL E LESTE</t>
  </si>
  <si>
    <t>JARDIM INGÁ (CNTI) - ROD. PLANO PILOTO VIA EPGU/ZOOLOGICO</t>
  </si>
  <si>
    <t>6078E</t>
  </si>
  <si>
    <t>JARDIM INGÁ - GUARÁ VIA SIG</t>
  </si>
  <si>
    <t>6079E</t>
  </si>
  <si>
    <t>6080E</t>
  </si>
  <si>
    <t>03.103.551/0001-79</t>
  </si>
  <si>
    <t>4040E</t>
  </si>
  <si>
    <t>4041E</t>
  </si>
  <si>
    <t>4322E</t>
  </si>
  <si>
    <t>4331E</t>
  </si>
  <si>
    <t>4094E</t>
  </si>
  <si>
    <t>TAGUATUR TAGUATINGA TRANSPORTES E TURISMO LTDA</t>
  </si>
  <si>
    <t>06.048.466/0007-39</t>
  </si>
  <si>
    <t>ROYAL PARK - ROD. PLANO PILOTO VIA SETOR POLICIAL / EIXO W</t>
  </si>
  <si>
    <t>AGUAS LINDAS DE GOIAS</t>
  </si>
  <si>
    <t>ROYAL PARK - ROD. PLANO PILOTO VIA ESTRUTURAL / W3 NORTE / L2 NORTE</t>
  </si>
  <si>
    <t xml:space="preserve">SANTA LUCIA - ROD. P.PILOTO VIA EPTG / GUARÁ 1-2 / SETOR GRÁFICO </t>
  </si>
  <si>
    <t xml:space="preserve">SANTA LUCIA - ROD. PLANO PILOTO VIA ESTRUTURAL / EIXO MONUMENTAL </t>
  </si>
  <si>
    <t xml:space="preserve">ROYAL PARK - ESPLANADA VIA ESTRUTURAL / ROD. PLANO PILOTO </t>
  </si>
  <si>
    <t>SANTA LUCIA - ESPLANADA  VIA ESTRUTURAL / ROD. PLANO PILOTO</t>
  </si>
  <si>
    <t>SANTA LUCIA - W3 NORTE VIA ESTRUTURAL / EIXO NORTE / ROD. P.PILOTO</t>
  </si>
  <si>
    <t xml:space="preserve">SANTA LUCIA - S I A VIA SETOR POLICIAL / EIXO SUL / OCTOGONAL / ROD. PLANO PILOTO </t>
  </si>
  <si>
    <t>SANTA LUCIA - S I G VIA EPTG / BR-070 / ROD. PLANO PILOTO</t>
  </si>
  <si>
    <t>SANTA LUCIA - NOROESTE VIA ESTRUTURAL / EIXO MONUMENTAL / W3 NORTE</t>
  </si>
  <si>
    <t>MORADA DA SERRA/CEILÂNDIA CENTRO/VIA OESTE</t>
  </si>
  <si>
    <t>CEILANDIA</t>
  </si>
  <si>
    <t>Permissão - Quota 3</t>
  </si>
  <si>
    <t>SANTA LUCIA - CEILÂNDIA CENTRO/VIA OESTE</t>
  </si>
  <si>
    <t>PINHEIRO 1/CEILÂNDIA CENTRO/VIA OESTE</t>
  </si>
  <si>
    <t>PINHEIRO 2/CEILÂNDIA CENTRO/VIA OESTE</t>
  </si>
  <si>
    <t>JD. PARAÍSO/ COMERCIAL NORTE/SUL - TAGUATINGA</t>
  </si>
  <si>
    <t>Permissão - Quota 2</t>
  </si>
  <si>
    <t>MORADA DA SERRA/ÁGUAS CLARAS/VIA PISTÃO NORTE</t>
  </si>
  <si>
    <t>SANTA LUCIA - TAGUATINGA RODOVIÁRIA, VIA COMERCIAL NORTE/SUL</t>
  </si>
  <si>
    <t xml:space="preserve">PINHEIRO 4 -TAGUATINGA, VIA COMERCIAL NORTE/SUL </t>
  </si>
  <si>
    <t>JD. GUAÍRA  - TAGUATINGA, VIA COMERCIAL NORTE/SUL</t>
  </si>
  <si>
    <t>PINHEIRO 2/TAGUATINGA /VIA COMERCIAL/ EPNB</t>
  </si>
  <si>
    <t>PINHEIRO 1/TAGUATINGA /VIA COMERCIAL/ EPNB</t>
  </si>
  <si>
    <t xml:space="preserve">ROYAL PARK - TAGUATINGA, VIA COMERCIAL NORTE/SUL </t>
  </si>
  <si>
    <t>MORADA DA SERRA/TAGUATINGA RODOVIÁRIA/ VIA COMERCIAL NORTE</t>
  </si>
  <si>
    <t>MORADA DA SERRA/TAGUATINGA CENTRO/ VIA COMERCIAL NORTE</t>
  </si>
  <si>
    <t>MORADA DA SERRA/TAGUATINGA / VIA COMERCIAL N/S/ CATÓLICA</t>
  </si>
  <si>
    <t>SANTA LUCIA - TAGUATINGA RODOVIÁRIA/VIA COMERCIAL NORTE</t>
  </si>
  <si>
    <t>SANTA LUCIA - TAGUATINGA CENTRO/VIA COMERCIAL NORTE</t>
  </si>
  <si>
    <t>SANTA LUCIA - TAGUATINGA/VIA COMERCIAL N/S/CATÓLICA</t>
  </si>
  <si>
    <t>PINHEIRO 4/TAGUATINGA CENTRO/VIA COMERCIAL NORTE</t>
  </si>
  <si>
    <t>ROYAL PARK - TAGUATINGA RODOVIÁRIA/ VIA COMERCIAL NORTE</t>
  </si>
  <si>
    <t>ROYAL PARK - TAGUATINGA CENTRO/ VIA COMERCIAL NORTE</t>
  </si>
  <si>
    <t>PINHEIRO 4/TAGUATINGA/ COMERCIAL NORTE/SUL/CATÓLICA</t>
  </si>
  <si>
    <t>PINHEIRO 2/TAGUATINGA/VIA COMERCIAL N/S/CATÓLICA</t>
  </si>
  <si>
    <t>PINHEIRO 2/TAGUATINGA CENTRO/VIA COMERCIAL NORTE</t>
  </si>
  <si>
    <t>JARDIM LARANJEIRA - TAGUATINGA, VIA COMERCIAL NORTE E SUL/CATÓLICA</t>
  </si>
  <si>
    <t>PINHEIRO 1/TAGUATINGA/VIA COMERCIAL N/S/CATÓLICA</t>
  </si>
  <si>
    <t>PINHEIRO 1/TAGUATINGA CENTRO/VIA COMERCIAL NORTE</t>
  </si>
  <si>
    <t>PINHEIRO 1/TAGUATINGA RODOVIÁRIA/VIA COMERCIAL NORTE</t>
  </si>
  <si>
    <t>PINHEIRO 2/TAGUATINGA RODOVIÁRIA/VIA COMERCIAL NORTE</t>
  </si>
  <si>
    <t>SANTA LUCIA - ÁGUAS CLARAS /VIA PISTÃO NORTE</t>
  </si>
  <si>
    <t>PINHEIRO 4/ÁGUAS CLARAS/VIA PISTÃO NORTE</t>
  </si>
  <si>
    <t>JARDIM PARAISO - ÁGUAS CLARAS VIA PISTÃO NORTE / ÁGUAS CLARAS / UNIEURO</t>
  </si>
  <si>
    <t>JARDIM GUAÍRA/ÁGUAS CLARAS/VIA PISTÃO NORTE</t>
  </si>
  <si>
    <t>ROYAL PARK - ÁGUAS CLARAS/VIA PISTÃO NORTE</t>
  </si>
  <si>
    <t>PINHEIRO 1/ÁGUAS CLARAS/VIA PISTÃO NORTE</t>
  </si>
  <si>
    <t xml:space="preserve">JARDIM LARANJEIRA - ÁGUAS CLARAS/ VIA PISTÃO NORTE </t>
  </si>
  <si>
    <t>PINHEIRO 2/ÁGUAS CLARAS/VIA PISTÃO NORTE</t>
  </si>
  <si>
    <t>GIRASSOL/BRASÍLIA/ESTRUTURAL/TERMINAL METROPOLITANO (TOURING)</t>
  </si>
  <si>
    <t>GIRASSOL (COCALZINHO)</t>
  </si>
  <si>
    <t>Permissão - Quota 8</t>
  </si>
  <si>
    <t>GIRASSOL - BRASÍLIA/VIA EIXO</t>
  </si>
  <si>
    <t>COCALZINHO DE GOIÁS (GIRASSOL) /BRASÍLIA VIA ESTRUTURAL/W3 NORTE/NOROESTE</t>
  </si>
  <si>
    <t>GIRASSOL/BRASÍLIA ESTRUTURAL/ESPLANADA</t>
  </si>
  <si>
    <t>GIRASSOL/BRASÍLIA W3 NORTE/L2 NORTE</t>
  </si>
  <si>
    <t>GIRASSOL/TAGUATINGA/CATÓLICA /EPNB</t>
  </si>
  <si>
    <t>Permissão - Quota 9</t>
  </si>
  <si>
    <t>GIRASSOL/TAGUATINGA CENTRO/VIA COMERCIAL NORTE</t>
  </si>
  <si>
    <t>GIRASSOL/TAGUATINGA/VIA COMERCIAL N/S/CATÓLICA</t>
  </si>
  <si>
    <t>GIRASSOL - AGUAS CLARAS, VIA TAGUATINGA CENTRO/COMERCIAL NORTE</t>
  </si>
  <si>
    <t>GIRASSOL/TAGUATINGA RODOVIÁRIA/VIA COMERCIAL NORTE</t>
  </si>
  <si>
    <t>GIRASSOL/ ÁGUAS CLARAS/VIA PISTÃO NORTE</t>
  </si>
  <si>
    <t xml:space="preserve">MANSÕES MARAJÓ - BRASÍLIA VIA PONTE DAS GARÇAS </t>
  </si>
  <si>
    <t>MANSOES MARAJO (CRISTALINA)</t>
  </si>
  <si>
    <t>Permissão - Quota 10</t>
  </si>
  <si>
    <t>MANSÕES MARAJÓ - BRASÍLIA VIA PONTE JK</t>
  </si>
  <si>
    <t>LAGO AZUL/ RESID. ALVORADA/AMÉRICA DO SUL - GAMA/ÁREA CENTRAL</t>
  </si>
  <si>
    <t>LAGO AZUL/GO</t>
  </si>
  <si>
    <t>Permissão - Quota 20.2</t>
  </si>
  <si>
    <t>LAGO AZUL/LUNABEL - GAMA/ ÁREA CENTRAL</t>
  </si>
  <si>
    <t>PEDREGAL/ GAMA/ÁREA CENTRAL/RESIDENCIAL GREENVILLE</t>
  </si>
  <si>
    <t>PEDREGAL</t>
  </si>
  <si>
    <t>Permissão - Quota 20.1</t>
  </si>
  <si>
    <t>LAGO AZUL/RESID. ALVORADA/AMÉRICA DO SUL/GAMA/ÁREA CENTRAL</t>
  </si>
  <si>
    <t>LAGO AZUL NÚCLEO RESIDENCIAL  - GAMA/ÁREA CENTRAL</t>
  </si>
  <si>
    <t>PEDREGAL VIA NOVO GAMA - TAGUATINGA/ VIA PISTÃO SUL</t>
  </si>
  <si>
    <t>Permissão - Quota 19</t>
  </si>
  <si>
    <t>PEDREGAL/NOVO GAMA - TAGUATINGA. VIA PISTÃO SUL E AGUAS CLARAS</t>
  </si>
  <si>
    <t>LAGO AZUL - TAGUATINGA, VIA PISTÃO SUL/AGUAS CLARAS</t>
  </si>
  <si>
    <t>LAGO AZUL (NOVO RESIDENCIAL L)/TAGUATINGA, VIA TAGUATINGA CENTRO</t>
  </si>
  <si>
    <t>LAGO AZUL/ TAGUATINGA/ VIA PISTÃO SUL</t>
  </si>
  <si>
    <t>PEDREGAL/NOVO GAMA - GAMA/ÁREA CENTRAL</t>
  </si>
  <si>
    <t>LAGO AZUL/GO - TERMINAL RODOVIÁRIO DO BRT DE SANTA MARIA/DF</t>
  </si>
  <si>
    <t xml:space="preserve">LAGO AZUL - GAMA/ ÁREA CENTRAL </t>
  </si>
  <si>
    <t>Permissão - Quota 20.3</t>
  </si>
  <si>
    <t>PEDREGAL/GO - TERMINAL RODOVIÁRIO DO BRT DE SANTA MARIA/DF</t>
  </si>
  <si>
    <t>SANTO ANTONIO DO DESCOBERTO</t>
  </si>
  <si>
    <t>QUEIROZ/ VILA PARAÍSO/ VILA SÃO LUIZ - ROD. PLANO PILOTO, VIA EIXO</t>
  </si>
  <si>
    <t>ROD. CENTRO/VILA SAO LUIZ - ROD. PLANO PILOTO, VIA EIXO</t>
  </si>
  <si>
    <t>ROD. CENTRO/VILA SAO LUIZ - ÁGUAS CLARAS/GUARA/ROD. PLANO PILOT, VIA EPTG</t>
  </si>
  <si>
    <t>JARDIM DE ALA/PED XI - W3 SUL E NORTE</t>
  </si>
  <si>
    <t>ROD.QUEIROZ/BEATRIZ/PARQUE SANTO ANTONIO - ROD. PLANO PILOTO,  VIA EIXO</t>
  </si>
  <si>
    <t>VILA SÃO LUIZ/QUEIROZ/M. NOBRE/PARQUE S.ANTONIO - PARKSHOPPING/SETOR POLICIAL/W3 SUL</t>
  </si>
  <si>
    <t>PARQUE S.ANTONIO/MORADANOBRE/BETARIZ/QUEIROZ - ROD. PLANO PILOTO,  VIA EIXO</t>
  </si>
  <si>
    <t>VILA SÃO LUIZ/QUEIROZ/M. NOBRE/PARQUE S. ANTONIO - ROD. PLANO PILOTO</t>
  </si>
  <si>
    <t>ROD. CENTRO/VILA SAO LUIZ - ESPLANADA/ROD. PLANO PILOTO -  VIA EIXO</t>
  </si>
  <si>
    <t xml:space="preserve">ROD. CENTRO/VILA SÃO LUIZ - ESPLANADA/ROD. PLANO PILOTO,  VIA L 2 SUL </t>
  </si>
  <si>
    <t xml:space="preserve">PARQUE S. ANTONIO/ M. NOBRE/BEATRIZ/QUEIROZ – W3 SUL/NORTE,  VIA EPNB/EIXO </t>
  </si>
  <si>
    <t>ROD. CENTRO/VILA SAO LUIZ -  W3 SUL/NORTE/ROD. PLANO PILOTO, VIA EPNB</t>
  </si>
  <si>
    <t>PARQUE S.ANTONIO/PED XVII/M. NOBRE/BEATRIZ/QUEIROZ – W3 SUL/NORTE/ROD. PLANO PILOTO, VIA SETOR POLICIAL</t>
  </si>
  <si>
    <t>ROD. QUEIROZ/BEATRIZ/PARQUE SANTO ANTONIO – W3 SUL/NORTE/ VIA SETOR POLICIAL</t>
  </si>
  <si>
    <t>PARQUE S.ANTONIO/M. NOBRE/BEATRIZ/QUEIROZ – SETOR GRÁFICO,  VIA EPTG</t>
  </si>
  <si>
    <t>JARDIM DE ALA/PED XI - S ETOR GRÁFICO, VIA EPTG</t>
  </si>
  <si>
    <t>ROD. QUEIROZ/BEATRIZ/PARQUE S.ANTONIO – SETOR GRÁFICO/W3 NORTE, VIA EPTG</t>
  </si>
  <si>
    <t>VILA SAO LUIZ/QUEIROZ/M. NOBRE/PARQUE S. ANTONIO - SIG</t>
  </si>
  <si>
    <t>ROD. CENTRO/VILA SAO LUIZ  - S M U/ROD. PLANO PILOTO, VIA SETOR MILITAR E PARKSHOPPING</t>
  </si>
  <si>
    <t>PARQUE S.ANTONIO/M. NOBRE/BEATRIZ/QUEIROZ – PARK SHOPPING/SMU/ROD. PLANO PILOTO, VIA EPNB</t>
  </si>
  <si>
    <t>PARQUE SAD / ROD. QUEIROZ / BRASÍLIA / SETOR GRÁFICO/ W3 NORTE/ NOROESTE</t>
  </si>
  <si>
    <t>PARQUE SANTO ANTONIO/M. NOBRE/QUEIROZ - TAGUATINGA, VIA SANDÚ</t>
  </si>
  <si>
    <t>ROD. QUEIROZ - TAGUATINGA, VIA ESTÁDIO</t>
  </si>
  <si>
    <t>ROD. CENTRO/VILA SAO LUIZ - TAGUATINGA,VIA ESTÁDIO</t>
  </si>
  <si>
    <t>ROD. CENTRO/VILA SAO LUIZ - TAGUATINGA, VIA COMERCIAL</t>
  </si>
  <si>
    <t>PARQUE S.ANTONIO/M. NOBRE/QUEIROZ - TAGUATINGA, VIA ESTÁDIO</t>
  </si>
  <si>
    <t>ROD. CENTRO/VILA SAO LUIZ  - TAGUATINGA, VIA SANDÚ</t>
  </si>
  <si>
    <t>ROD. QUEIROZ/VILA SÃO LUIZ - TAGUATINGA</t>
  </si>
  <si>
    <t>JARDIM DE ALA/PED XI - TAGUATINGA,VIA SANDÚ</t>
  </si>
  <si>
    <t>PARQUE SANTO ANTONIO/M. NOBRE/QUEIROZ - TAGUATINGA, VIA COMERCIAL</t>
  </si>
  <si>
    <t>VILA SAO LUIZ/QUEIROZ/M. NOBRE/PARQUE SANTO ANTONIO, - TAGUATINGA, VIA ESTADIO</t>
  </si>
  <si>
    <t>PARQUE SANTO ANTONIO/MORADA NOBRE/QUEIROZ - TAGUATINGA, VIA SANDU</t>
  </si>
  <si>
    <t>PARQUE S. ANTONIO/M. NOBRE/QUEIROZ - AGUAS CLARAS/ROD. PLANO PILOTO,  VIA ESTRUTURAL</t>
  </si>
  <si>
    <t>PARQUE SANTO ANTONIO/M NOBRE/QUEIROZ – GUARÁ/ROD. PLANO PILOTO, VIA  ÁGUAS CLARAS</t>
  </si>
  <si>
    <t>PARQUE SAD / ROD. QUEIROZ / BRASÍLIA / PARQUE SHOPPING/SIG</t>
  </si>
  <si>
    <t>37.098.480/0001-85</t>
  </si>
  <si>
    <t>PINHEIRO 2 - ROD. PLANO PILOTO EPTG/ EIXO SUL</t>
  </si>
  <si>
    <t>PINHEIRO 2 - ROD. PLANO PILOTO VIA ESTRUTURAL</t>
  </si>
  <si>
    <t>PINHEIRO 1 - ESPLANADA  / ROD. PLANO PILOTO, VIA ESTRUTURAL</t>
  </si>
  <si>
    <t>CHIOLA/MORADA DA SERRA - ROD. PLANO PILOTO VIA ESTRUTURAL</t>
  </si>
  <si>
    <t>JARDIM LARANJEIRA/COIMBRA - ROD. PLANO PILOTO VIA EPTG/EIXO SUL</t>
  </si>
  <si>
    <t xml:space="preserve">PINHEIRO 4 E 5 - ROD. PLANO PILOTO VIA EPTG/EIXO SUL </t>
  </si>
  <si>
    <t>PINHEIRO 1 - ROD. PLANO PILOTO VIA EPTG / EIXO SUL</t>
  </si>
  <si>
    <t>PINHEIRO 1 - ROD. PLANO PILOTO VIA ESTRUTURAL</t>
  </si>
  <si>
    <t>PINHEIRO 1 E 2 - ROD. PLANO PILOTO VIA EIXO SUL</t>
  </si>
  <si>
    <t>CHIOLA/MORADA DA SERRA - ESPLANADA VIA ESTRUTURAL / ROD. PLANO PILOTO</t>
  </si>
  <si>
    <t>JARDIM PARAISO - ESPLANADA VIA ESTRUTURAL / ROD. PLANO PILOTO</t>
  </si>
  <si>
    <t>PINHEIRO 4 e 5 - ESPLANADA  / ROD. PLANO PILOTO, VIA ESTRUTURAL</t>
  </si>
  <si>
    <t>JARDIM LARANJEIRA/COIMBRA - ESPLANADA  / ROD. PLANO PILOTO, VIA ESTRUTURAL</t>
  </si>
  <si>
    <t>PINHEIRO 2 - ESPLANADA / ROD. PLANO PILOTO, VIA ESTRUTURAL</t>
  </si>
  <si>
    <t>CHIOLA/MORADA DA SERRA - W3 NORTE VIA ESTRUTURAL / L2 NORTE / ROD. PLANO PILOTO</t>
  </si>
  <si>
    <t>JARDIM PARAISO - W3 NORTE / L2 NORTE / ROD. PLANO PILOTO, VIA ESTRUTURAL</t>
  </si>
  <si>
    <t xml:space="preserve">JARDIM GUAIRA - W3 NORTE / L2 NORTE /ROD. PLANO PILOTO, VIA ESTRUTURAL </t>
  </si>
  <si>
    <t xml:space="preserve">PINHEIRO 4 E 5 - W3 NORTE / ROD. PLANO PILOTO / L2 NORTE. VIA ESTRUTURAL </t>
  </si>
  <si>
    <t xml:space="preserve">JARDIM LARANJEIRA/COIMBRA - W3 NORTE / ROD. PLANO PILOTO, VIA ESTRUTURAL </t>
  </si>
  <si>
    <t>PINHEIRO 1 - W3 NORTE / L2 NORTE /ROD. PLANO PILOTO, VIA ESTRUTURAL</t>
  </si>
  <si>
    <t>PINHEIRO 2 - W3 NORTE / L2 NORTE / ROD. PLANO PILOTO, VIA ESTRUTURAL</t>
  </si>
  <si>
    <t>MORADA DA SERRA/CHIOLA - EPTG / EIXO SUL / ROD. PLANO PILOTO</t>
  </si>
  <si>
    <t>JARDIM PARAISO - EPTG / EIXO SUL / ROD. PLANO PILOTO</t>
  </si>
  <si>
    <t xml:space="preserve">JARDIM GUAIRA - EPTG / EIXO SUL / ROD. PLANO PILOTO </t>
  </si>
  <si>
    <t>MORADA DA SERRA/CHIOLA - S I G VIA ESTRUTURAL / ROD. PLANO PILOTO</t>
  </si>
  <si>
    <t>MORADA DA SERRA/CHIOLA - GUARÁ 1-2 / ROD. PLANO PILOTO, VIA EPTG/PARKSHOPPING</t>
  </si>
  <si>
    <t xml:space="preserve">PINHEIRO 1 - S I G / ROD. PLANO PILOTO,VIA ESTRUTURAL </t>
  </si>
  <si>
    <t>PINHEIRO 2 - S I G  / ROD. PLANO PILOTO, VIA ESTRUTURAL</t>
  </si>
  <si>
    <t>PINHEIRO 4 E 5 - SIG / ROD. PLANO PILOTO, VIA ESTRUTURAL</t>
  </si>
  <si>
    <t>MORADA DA SERRA/CHIOLA - NOROESTE VIA ESTRUTURAL / SAAN</t>
  </si>
  <si>
    <t>ÁGUAS LINDAS (PINHEIRO 1) – SAAN - NOROESTE</t>
  </si>
  <si>
    <t>PINHEIRO I - GUARÁ 1 E 2/ ROD. PLANO PILOTO</t>
  </si>
  <si>
    <t>PINHEIRO 2 - GUARÁ 1 E 2 / ROD. PLANO PILOTO, VIA EPTG/PARKSHOPPING</t>
  </si>
  <si>
    <t>CIDADE OCIDENTAL</t>
  </si>
  <si>
    <t>8001E</t>
  </si>
  <si>
    <t xml:space="preserve">CIDADE OCIDENTAL - ROD. PLANO PILOTO VIA JD. ABC / GILBERTO SALOMÃO </t>
  </si>
  <si>
    <t xml:space="preserve">CIDADE OCIDENTAL - ROD. PLANO PILOTO VIA PARKSHOPPING / EIXO W SUL </t>
  </si>
  <si>
    <t xml:space="preserve">CID. OCIDENTAL – ROD. PLANO PILOTO VIA JARDIM ABC / PONTE JK / ESPLANADA </t>
  </si>
  <si>
    <t>8021E</t>
  </si>
  <si>
    <t>8051D</t>
  </si>
  <si>
    <t xml:space="preserve">CIDADE OCIDENTAL – ROD. PLANO PILOTO VIA BALÃO DO AEROPORTO / ESPLANADA </t>
  </si>
  <si>
    <t xml:space="preserve">CIDADE OCIDENTAL - W3 SUL E NORTE VIA BALÃO DO AEROPORTO </t>
  </si>
  <si>
    <t>8071E</t>
  </si>
  <si>
    <t>8072E</t>
  </si>
  <si>
    <t xml:space="preserve">CIDADE OCIDENTAL (FRIBURGO) VIA BR040 – BALÃO AEROPORTO – W3 SUL E NORTE </t>
  </si>
  <si>
    <t xml:space="preserve">CIDADE OCIDENTAL - W3 NORTE VIA JARDIM ABC /PONTE JK / ESPLANADA </t>
  </si>
  <si>
    <t>CIDADE OCIDENTAL (NÁPOLIS/ARAGUARI)</t>
  </si>
  <si>
    <t xml:space="preserve">JARDIM ABC - W3 SUL E NORTE VIA GILBERTO SALOMÃO / L2 SUL </t>
  </si>
  <si>
    <t xml:space="preserve">CIDADE OCIDENTAL - W3 NORTE VIA PARKSHOPPING / SIG / TORRE DE TV </t>
  </si>
  <si>
    <t>CIDADE OCIDENTAL (FRIBURGO) VIA BR040 – PARK SHOPPING – SETOR GRÁFICO – W3 NORTE</t>
  </si>
  <si>
    <t>CIDADE OCIDENTAL (NÁPOLIS / ARAGUARI)</t>
  </si>
  <si>
    <t xml:space="preserve">CIDADE OCIDENTAL - SETOR DE CARGAS VIA PARKSHOPPING / SIA </t>
  </si>
  <si>
    <t>CIDADE OCIDENTAL – SIA/SAAN VIA PARKSHOPPING / SOF NORTE</t>
  </si>
  <si>
    <t xml:space="preserve">CIDADE OCIDENTAL - SMU VIA PARKSHOPPING / SIG / BURITI </t>
  </si>
  <si>
    <t>CIDADE OCIDENTAL – SIA VIA JD. ABC / PONTE JK / ESPLANADA / SIG</t>
  </si>
  <si>
    <t xml:space="preserve">CID. OCIDENTAL – CRUZEIRO VIA JD. ABC / PONTE JK / ESPLANADA / SIG </t>
  </si>
  <si>
    <t xml:space="preserve">CIDADE OCIDENTAL - GAMA CENTRO VIA BR-040 / DF-290 </t>
  </si>
  <si>
    <t>8009D</t>
  </si>
  <si>
    <t>8071D</t>
  </si>
  <si>
    <t>37.098.480/0001-86</t>
  </si>
  <si>
    <t>CIDADE OCIDENTAL VIA JARDIM ABC -  GAMA CENTRO VIA BR-040 / DF-290</t>
  </si>
  <si>
    <t xml:space="preserve">PARQUE FRIBURGO- SÃO MATEUS-NAPOLIS-ARAGUARI W3 NORTE P.SHOPPING / S.GRAFICO/ TORRE DE TV </t>
  </si>
  <si>
    <t>MONTE ALTO - BRAZLÂNDIA VIA BR-080</t>
  </si>
  <si>
    <t>MONTE ALTO (PADRE BERNARDO)</t>
  </si>
  <si>
    <t>BRAZLANDIA</t>
  </si>
  <si>
    <t>Autorização Judicial</t>
  </si>
  <si>
    <t>MONTE ALTO - W3 NORTE VIA BRAZLÂNDIA / INCRA 08 / BR 070 / EPTG / SETOR GRÁFICO</t>
  </si>
  <si>
    <t>MONTE ALTO - ROD. PLANO PILOTO VIA BRAZLÂNDIA / DF-180 / PISTÃO NORTE / EPTG / EIXO W</t>
  </si>
  <si>
    <t>MONTE ALTO - ROD. PLANO PILOTO VIA BRAZLÂNDIA / EIXO W / EPTG / PISTÃO NORTE / FASSINCRA</t>
  </si>
  <si>
    <t xml:space="preserve">CEU AZUL - ROD. PLANO PILOTO VIA PARKSHOPPING / EIXO SUL </t>
  </si>
  <si>
    <t>CEU AZUL - ROD. PLANO PILOTO VIA EPGU-ZOOLÓGICO / EIXO W SUL</t>
  </si>
  <si>
    <t>8350E</t>
  </si>
  <si>
    <t>CIDADE OCIDENTAL - SMU VIA PARKSHOPPING / SIG / BURITI</t>
  </si>
  <si>
    <t>5002E</t>
  </si>
  <si>
    <t>CEU AZUL - EIXO W SUL E NORTE, VIA  VBALÃO DO AEROPORTO /ROD. PLANO PILOTO</t>
  </si>
  <si>
    <t>PACAEMBU -  ROD. PLANO PILOTO VIA CÉU AZUL /  EPGU- ZOOLÓGICO / EIXO</t>
  </si>
  <si>
    <t>CEU AZUL -  ROD. PLANO PILOTO VIA SETOR DE CHÁCARA ANHANGUERA / EPGU / EIXO W SUL</t>
  </si>
  <si>
    <t xml:space="preserve">PACAEMBU – ROD. PLANO PILOTO VIA CÉU AZUL / BALÃO DO AEROPORTO / EIXO / ESPLANADA </t>
  </si>
  <si>
    <t>5323E</t>
  </si>
  <si>
    <t>CEU AZUL - W3 SUL E NORTE VIA BALÃO DO AEROPORTO</t>
  </si>
  <si>
    <t>5031E</t>
  </si>
  <si>
    <t xml:space="preserve">CEU AZUL - W3 NORTE VIA PARKSHOPPING / SETOR GRÁFICO / BURITI </t>
  </si>
  <si>
    <t>PACAEMBU -  W3 SUL E NORTE VIA CÉU AZUL / BALÃO DO AEROPORTO</t>
  </si>
  <si>
    <t>5035E</t>
  </si>
  <si>
    <t>CEU AZUL -  W3 SUL E NORTE VIA SETOR DE CHÁCARA ANHANGUERA / BALÃO DO AEROPORTO</t>
  </si>
  <si>
    <t xml:space="preserve">CEU AZUL – BURITI VIA PARKSHOPPING / SIG </t>
  </si>
  <si>
    <t>CÉU AZUL – W3 NORTE VIA  PARKSHOPPING / SIG / BURITI / TORRE DE TV</t>
  </si>
  <si>
    <t xml:space="preserve">CEU AZUL - SIA/SAAN VIA PARKSHOPPING </t>
  </si>
  <si>
    <t xml:space="preserve">PACAEMBU -  SIA/SAAN VIA CÉU AZUL / PARK SHOPPING </t>
  </si>
  <si>
    <t>VALPARAISO -  ROD. PLANO PILOTO VIA JARDIM ORIENTE / EPGU / EIXO W SUL</t>
  </si>
  <si>
    <t>VALPARAISO DE GOIAS</t>
  </si>
  <si>
    <t>VALPARAISO -  ROD. PLANO PILOTO VIA ETAPA B / BR 040 / EIXO W SUL</t>
  </si>
  <si>
    <t>5007E</t>
  </si>
  <si>
    <t>VALPARAISO -  ROD. PLANO PILOTO VIA ETAPA B / BR 040 / EIXO W</t>
  </si>
  <si>
    <t>VALPARAISO - ROD. PLANO PILOTO VIA EPGU / EIXO W SUL</t>
  </si>
  <si>
    <t>5011E</t>
  </si>
  <si>
    <t xml:space="preserve">VALPARAISO - ROD. PLANO PILOTO VIA EPGU / EIXO W </t>
  </si>
  <si>
    <t>VALPARAISO - ROD. PLANO PILOTO VIA PARKSHOPPING / EIXO W SUL CÓDIGO (5014)</t>
  </si>
  <si>
    <t>VALPARAISO -  ROD. PLANO PILOTO, VIA ETAPA B / BALÃO DO AEROPORTO / EIXO W SUL /  ESPLANADA</t>
  </si>
  <si>
    <t>5014E</t>
  </si>
  <si>
    <t>5069E</t>
  </si>
  <si>
    <t>VALPARAISO II - ROD. PLANO PILOTO, VIA BALÃO DO AEROPORTO / EIXO W SUL / ESPLANADA</t>
  </si>
  <si>
    <t>5301E</t>
  </si>
  <si>
    <t>5303E</t>
  </si>
  <si>
    <t>5304E</t>
  </si>
  <si>
    <t>CÉU AZUL – W3 NORTE VIA PARKSHOPPING / SIG / BURITI / TORRE DE TV</t>
  </si>
  <si>
    <t>5321E</t>
  </si>
  <si>
    <t>5021E</t>
  </si>
  <si>
    <t>VALPARAÍSO DE GOIÁS I /GO (IPIRINGA) - W3 NORTE VIA PARKSHOPPING</t>
  </si>
  <si>
    <t>VALPARAISO -  W3 NORTE VIA ETAPA B / BR 040 / PARK SHOPPING / SETOR GRÁFICO CÓDIGO (5037)</t>
  </si>
  <si>
    <t>VALPARAISO - W3 SUL E NORTE</t>
  </si>
  <si>
    <t>5039E</t>
  </si>
  <si>
    <t>VALPARAISO - W3 SUL E NORTE VIA BALÃO  DO AEROPORTO</t>
  </si>
  <si>
    <t>VALPARAISO - W3 SUL E NORTE VIA ETAPA B / BALÃO AEROPORTO</t>
  </si>
  <si>
    <t>5041E</t>
  </si>
  <si>
    <t>5042E</t>
  </si>
  <si>
    <t xml:space="preserve">VALPARAISO - SIA/SAAN VIA PARKSHOPPING </t>
  </si>
  <si>
    <t xml:space="preserve">VALPARAISO – SIA/SAAN VIA ETAPA B / BR-040 / PARK SHOPPING </t>
  </si>
  <si>
    <t xml:space="preserve">VALPARAÍSO – ROD. DO GAMA VIA CÉU AZUL / CENTRO GAMA </t>
  </si>
  <si>
    <t>VALPARAISO 1 - ROD. DO GAMA VIA ETAPA B / BR-040 / DF-290 / CENTRO GAMA</t>
  </si>
  <si>
    <t xml:space="preserve">PACAEMBU -  ROD. DO GAMA VIA CÉU AZUL / DF-290 </t>
  </si>
  <si>
    <t xml:space="preserve">VALPARAÍSO – ROD. DE TAGUATINGA VIA ETABA B / EPCT / PISTÃO SUL </t>
  </si>
  <si>
    <t>VALPARAISO II – ROD. DE TAGUATINGA VIA CÉU AZUL/ EPCT / PISTÃO SUL</t>
  </si>
  <si>
    <t>VALPARAÍSO II / CÉU AZUL – ÁGUAS CLARAS/ROD. DE TAGUATINGA </t>
  </si>
  <si>
    <t>VALPARAÍSO I – ÁGUAS CLARAS /ROD. DE TAGUATINGA</t>
  </si>
  <si>
    <t>4000E</t>
  </si>
  <si>
    <t>4002E</t>
  </si>
  <si>
    <t>4004E</t>
  </si>
  <si>
    <t>4085E</t>
  </si>
  <si>
    <t>4087E</t>
  </si>
  <si>
    <t>4304E</t>
  </si>
  <si>
    <t>VALPARAÍSO DE GOIÁS (PARQUE MARAJÓ) VIA BR040 – W3 SUL / NORTE</t>
  </si>
  <si>
    <t>VALPARAÍSO DE GOIÁS I /GO (IPIRINGA) VIA BR 040 - ROD. PLANO PILOTO</t>
  </si>
  <si>
    <t>VALPARAÍSO DE GOIÁS (MARAJÓ) VIA EIXO W SUL - ROD. PLANO PILOTO</t>
  </si>
  <si>
    <t>PARQUE NAPOLIS B-P.ARAGUARI- ZOOLOGICO-CANDANGA-RODOVIARIA PLANO PILOTO</t>
  </si>
  <si>
    <t>PARQUE FRIBURGO- SÃO MATEUS-ZOOLOGICO-CANDANGA-RODOVIARIA PLANO PILOTO</t>
  </si>
  <si>
    <t>01.611.500/0001-22</t>
  </si>
  <si>
    <t>ÁGUAS LINDAS - SHOPPING/ BRAZLÂNDIA VIA PADRE LÚCIO</t>
  </si>
  <si>
    <t xml:space="preserve">Quantidade Anual </t>
  </si>
  <si>
    <t>Custo Anual Estimado</t>
  </si>
  <si>
    <t>Custo mensal estimado dos uniformes para 1 (um) profissional</t>
  </si>
  <si>
    <t>MASCULINO OU FEMININO</t>
  </si>
  <si>
    <t>Anual</t>
  </si>
  <si>
    <t>Custo Unitário de Aquisição Estimado</t>
  </si>
  <si>
    <t>Menor</t>
  </si>
  <si>
    <t>8650-0/01</t>
  </si>
  <si>
    <t>Atividades de enfermagem</t>
  </si>
  <si>
    <t>IN RFB nº 2110/2022.</t>
  </si>
  <si>
    <t>Nos termos da Decisão TCDF nº 544/2010 as parcelas referentes à Contribuição Social sobre o Lucro (CSLL) e ao Imposto de Renda sobre Pessoa Jurídica (IRPJ) devem ser incluídas na rubrica Lucro Bruto. Nesse sentido, as licitantes que elaborarem sua proposta utilizando o regime de tributação pelo lucro presumido, tendo em vista que nesse regime as bases de cálculo de incidência do IRPJ e da CSLL são fixadas em lei (Receita Bruta – Faturamento), deverão assegurar que o valor atribuído ao Lucro Bruto seja suficiente para arcar com as despesas desses tributos, conforme critério de aceitabilidade constante do Anexo XII do Edital.</t>
  </si>
  <si>
    <t>As empresas sujeitas ao regime de tributação de incidência não cumulativa de PIS e Cofins deverão comprovar que as alíquotas dos referidos tributos adotados na taxa de BDI correspondem à média dos percentuais efetivos recolhidos em virtude do direito de compensação dos créditos previstos no art. 3º das Leis nºs 10.637/2002 e 10.833/2003, de forma a garantir que os preços contratados pela administração pública reflitam os benefícios tributários concedidos pela legislação tributária. A comprovação de que trata este item poderá ser feita pelo cálculo da média dessas contribuições dos últimos 12 (doze) meses disponíveis, mediante a apresentação dos recibos de entrega de escrituração fiscal digital (EFD / SPED), ou, pelo cálculo da média dos recibos de que trata o item anterior.</t>
  </si>
  <si>
    <t xml:space="preserve">O presente orçamento foi elaborado tendo por base o regime de tributação pelo Lucro Real. </t>
  </si>
  <si>
    <t>Observações:</t>
  </si>
  <si>
    <t>TOTAL GERAL MENSAL ESTIMADO</t>
  </si>
  <si>
    <t>Valor Total dos Tributos =  P1 x To = P1-Po</t>
  </si>
  <si>
    <t>Vt = T0 x P1   (imposto por dentro)</t>
  </si>
  <si>
    <t>P1 (Valor Mensal a ser pago - faturamento) = Po + Vt</t>
  </si>
  <si>
    <t>Po = (A + B + C)</t>
  </si>
  <si>
    <t>6.3 - Total Tributos:</t>
  </si>
  <si>
    <t>TRIBUTOS</t>
  </si>
  <si>
    <t>Total - Demais Componentes:</t>
  </si>
  <si>
    <t>6.2 - Lucro:</t>
  </si>
  <si>
    <t>6.1 - Despesas Administrativas:</t>
  </si>
  <si>
    <t xml:space="preserve">Módulo 6 - Custos Indiretos, Tributos e Lucro						</t>
  </si>
  <si>
    <t>TOTAL ITEM 1:</t>
  </si>
  <si>
    <t>Valores Totais (R$)</t>
  </si>
  <si>
    <t>Valores Mensais (R$)</t>
  </si>
  <si>
    <t>Preço Total Mensal com BDI</t>
  </si>
  <si>
    <t>Preço Unitário Mensal com BDI</t>
  </si>
  <si>
    <t>SUBTOTAL</t>
  </si>
  <si>
    <t>QUANTIDADE</t>
  </si>
  <si>
    <t xml:space="preserve">MOD. 1, 2, 3, 4 e 5 (Remuneração + Encargos e Benefícios + Provisão para rescisão + Custo de Reposição do Profissional Ausente + Insumos Diversos)						</t>
  </si>
  <si>
    <t>Valores para preenchimento da Cláusula de Valor</t>
  </si>
  <si>
    <t>RESUMO DOS PREÇOS DOS SERVIÇOS</t>
  </si>
  <si>
    <t>Comprovação de atendimento ao disposto no item 9.3.16.1 do Anexo I do Edital</t>
  </si>
  <si>
    <t>Alíquota</t>
  </si>
  <si>
    <t>Valor</t>
  </si>
  <si>
    <t>Preço Mensal dos Serviços (Faturamento - Receita Bruta)</t>
  </si>
  <si>
    <t>Base de Cálculo para apuração do IRPJ pelo Lucro Presumido (Art. 15 da Lei nº 9.249/1995)</t>
  </si>
  <si>
    <t>Alíquota Normal (Art. 3º da Lei nº 9.249/1995) x Base de Cálculo IRPJ - Lucro Presumido</t>
  </si>
  <si>
    <t xml:space="preserve">Alíquota Adicional de 10% ( acima de R$20.000,00 por mês - art. 3º,§1º da Lei nº 9.249/1995) </t>
  </si>
  <si>
    <t>Total do IRPJ pelo Lucro Presumido:</t>
  </si>
  <si>
    <t>Base de Cálculo para apuração da CSLL  (Art. 20 da Lei nº 9.249/1995)</t>
  </si>
  <si>
    <t>Total da CSLL pelo Lucro Presumido  (Art.3º, inciso III da Lei nº 7.689/1988)</t>
  </si>
  <si>
    <t>Total de IRPJ e CSLL pelo Lucro Presumido:</t>
  </si>
  <si>
    <t>W</t>
  </si>
  <si>
    <t>CHECK VISUAL</t>
  </si>
  <si>
    <t>Valor da Rubrica Lucro Bruto constante da Planlilha do Resumo dos Preços dos Serviços:</t>
  </si>
  <si>
    <t>Critério de Aceitabilidade de Porposta elaborada utilizando o regime de tributação pelo Lucro Presumido:</t>
  </si>
  <si>
    <t>F &gt; = W</t>
  </si>
  <si>
    <t>Maior ou igual</t>
  </si>
  <si>
    <t>Fundamento Legal</t>
  </si>
  <si>
    <t xml:space="preserve">A Receita Bruta compreende o preço da prestação de serviços em geral  (art. 12 do Decreto-Lei nº 1.598, de 1977, nos termos do art. 2º e caput do art. 3º da Lei nº 9.718, de 1998). </t>
  </si>
  <si>
    <t>Não Cumulativo</t>
  </si>
  <si>
    <t>Cumulativo</t>
  </si>
  <si>
    <t>Faturamento - PIS</t>
  </si>
  <si>
    <t>Fat - COFINS</t>
  </si>
  <si>
    <t>VERFICAÇÃO RELATIVA AO CAPÍTULO XV e ANEXO VIII</t>
  </si>
  <si>
    <t>VERIFICAR ÍNDICES CONTÁBEIS</t>
  </si>
  <si>
    <t>PL da Empresa é Superior a 10% VEC</t>
  </si>
  <si>
    <t>Valor estimado Contratação (VEC)</t>
  </si>
  <si>
    <t>Conferência relação de compromissos</t>
  </si>
  <si>
    <t>Valor Mensal dos Contratos</t>
  </si>
  <si>
    <t>Valor do Patrimônio Líquido</t>
  </si>
  <si>
    <t>Receita Operacional Bruta</t>
  </si>
  <si>
    <t>Checks Visuais</t>
  </si>
  <si>
    <t>item 15.5</t>
  </si>
  <si>
    <t>Faturamento - COFINS</t>
  </si>
  <si>
    <t>Maior Valor Apurado para Faturamento</t>
  </si>
  <si>
    <t>Faturamento DRE</t>
  </si>
  <si>
    <t>Limite Inferior de Variação</t>
  </si>
  <si>
    <t>Limite Superior de Variação</t>
  </si>
  <si>
    <t>Comparativo do custo mensal de contratação por posto</t>
  </si>
  <si>
    <t>Tipo de Posto</t>
  </si>
  <si>
    <t>TCDF 
(estimado)</t>
  </si>
  <si>
    <t xml:space="preserve">Média </t>
  </si>
  <si>
    <t>Menor entre Média e Mediana</t>
  </si>
  <si>
    <t>Diferença Verificada</t>
  </si>
  <si>
    <t>Dados para fins de comparação com o valor orçado.</t>
  </si>
  <si>
    <t>Enfermeiro</t>
  </si>
  <si>
    <t>Cálculo do Valor Mensal a ser glosado da fatura e destinado à conta Vinculada</t>
  </si>
  <si>
    <t>Salário Bruto</t>
  </si>
  <si>
    <t>Percentual total a ser destinado à conta vinculada, conforme Decreto Distrital nº 34.649/2013, com redação dada pelo Decreto Distrital nº 36.164/2014 (Anexo).</t>
  </si>
  <si>
    <t>13º salário</t>
  </si>
  <si>
    <t>Férias</t>
  </si>
  <si>
    <t>FGTS</t>
  </si>
  <si>
    <t>Encargos s/ 13º salário</t>
  </si>
  <si>
    <t>Encargos s/ Férias</t>
  </si>
  <si>
    <t>Total a ser glosado para 1 (um) profissional</t>
  </si>
  <si>
    <t>Nº de Funcionários contratados</t>
  </si>
  <si>
    <t>O faturamento mensal total referente aos serviços contínuos de apoio administrativo sujeitam-se à apuração quanto aos seguintes quesitos:</t>
  </si>
  <si>
    <t>Descrição da métrica de apuração a ser aplicado sobre o faturamento mensal total referente aos serviços contratados</t>
  </si>
  <si>
    <t>Conceito, relativo à qualidade dos serviços prestados</t>
  </si>
  <si>
    <r>
      <t>Nível de Serviço correspondente a sp</t>
    </r>
    <r>
      <rPr>
        <i/>
        <sz val="13"/>
        <color theme="1"/>
        <rFont val="Arial Narrow"/>
        <family val="2"/>
      </rPr>
      <t xml:space="preserve">  ≤ 20 </t>
    </r>
    <r>
      <rPr>
        <sz val="13"/>
        <color theme="1"/>
        <rFont val="Arial Narrow"/>
        <family val="2"/>
      </rPr>
      <t>pontos</t>
    </r>
  </si>
  <si>
    <t>ótimo</t>
  </si>
  <si>
    <t>Nível de Serviço correspondente entre 20  &lt;  sp  ≤ 35 pontos</t>
  </si>
  <si>
    <t>satisfatório</t>
  </si>
  <si>
    <t>Nível de Serviço correspondente entre 35 &lt;  sp  ≤ 60</t>
  </si>
  <si>
    <t xml:space="preserve">regular </t>
  </si>
  <si>
    <t>Nivel de serviço correspondente a sp &gt; 60</t>
  </si>
  <si>
    <t>ruim</t>
  </si>
  <si>
    <r>
      <t xml:space="preserve">Onde </t>
    </r>
    <r>
      <rPr>
        <b/>
        <i/>
        <sz val="13"/>
        <color theme="1"/>
        <rFont val="Arial Narrow"/>
        <family val="2"/>
      </rPr>
      <t xml:space="preserve">sp </t>
    </r>
    <r>
      <rPr>
        <b/>
        <sz val="13"/>
        <color theme="1"/>
        <rFont val="Arial Narrow"/>
        <family val="2"/>
      </rPr>
      <t>é o somatório de pontos correspondentes a acontecimentos no mês de referência conforme sistema de pontuação abaixo:</t>
    </r>
  </si>
  <si>
    <t>POR OCORRÊNCIA VERIFICADA</t>
  </si>
  <si>
    <t>QUANTIDADE DE PONTOS</t>
  </si>
  <si>
    <t>Execução dos Serviços Contínuos de Enfermagem</t>
  </si>
  <si>
    <r>
      <t xml:space="preserve">Fator Qualidade (FQ) - a incidir  sobre o faturamento mensal total referente aos </t>
    </r>
    <r>
      <rPr>
        <b/>
        <u/>
        <sz val="13"/>
        <color theme="1"/>
        <rFont val="Arial Narrow"/>
        <family val="2"/>
      </rPr>
      <t>serviços contínuos de enfermagem</t>
    </r>
  </si>
  <si>
    <t>Dados para composição dos custos referentes a mão de obra</t>
  </si>
  <si>
    <t>Tipo de posto</t>
  </si>
  <si>
    <t>Classificação Brasileira de Ocupações (CBO nº)</t>
  </si>
  <si>
    <t>Quantidade de Posto(s)</t>
  </si>
  <si>
    <t>2235-05</t>
  </si>
  <si>
    <t>A apropriação dos Custos Indiretos, Lucros e Tributos (BDI - Módulo 6) é feita na Planilha Resumo dos Preços dos Serviços.</t>
  </si>
  <si>
    <t>De modo assegurar a manutenção dos princípios da isonomia e do julgamento objetivo do certame, é expressamente proibido à alteração dos tipos e dos quantitativos de uniformes, constantes das planilhas de uniformes para os postos de serviços.</t>
  </si>
  <si>
    <t>Todos os modelos de uniformes deverão ser aprovados pela fiscalização do contrato.</t>
  </si>
  <si>
    <t>Nos termos do art. 61, §1º da Lei nº 14.133/2021 o preço global máximo para os serviços a ser aceito é o constante deste Anexo.</t>
  </si>
  <si>
    <t xml:space="preserve">Valor Mensal Total por tipo de posto a ser glosado da fatura e destinado à conta vinculada da empresa </t>
  </si>
  <si>
    <t>Linhas com  contrato de Permissão, reajustadas com base na DELIBERAÇÃO Nº 244, DE 10 DE AGOSTO DE 2023, publicada no Diário Oficial da União de 11/08/2023, com entrada em vigor em 13/08/2023</t>
  </si>
  <si>
    <t>CÓDIGO LINHA</t>
  </si>
  <si>
    <t>NOME DA LINHA</t>
  </si>
  <si>
    <t xml:space="preserve">Localidade de ORIGEM </t>
  </si>
  <si>
    <t xml:space="preserve">Localidade de DESTINO </t>
  </si>
  <si>
    <t xml:space="preserve">1001 </t>
  </si>
  <si>
    <t>12073070</t>
  </si>
  <si>
    <t xml:space="preserve">ROD. PLANALTINA (GO) – ROD. PLANO PILOTO VIA FEIRA / EIXO W NORTE </t>
  </si>
  <si>
    <t>diferenciado</t>
  </si>
  <si>
    <t xml:space="preserve">1002 </t>
  </si>
  <si>
    <t>1054</t>
  </si>
  <si>
    <t>PLANALTINA (GO) EIXO NORTE E SUL VIA MUTIRÃO</t>
  </si>
  <si>
    <t>1055</t>
  </si>
  <si>
    <t>PLANALTINA (GO) EIXO NORTE E SUL VIA PAINEIRAS</t>
  </si>
  <si>
    <t>1056</t>
  </si>
  <si>
    <t>PLANALTINA (GO) EIXO NORTE E SUL VIA IMIGRANTES</t>
  </si>
  <si>
    <t>1057</t>
  </si>
  <si>
    <t>PLANALTINA (GO) EIXO NORTE E SUL VIA SÃO JOSÉ</t>
  </si>
  <si>
    <t>1058</t>
  </si>
  <si>
    <t>PLANALTINA (GO) EIXO NORTE E SUL VIA SETOR OESTE / SUL</t>
  </si>
  <si>
    <t>1060</t>
  </si>
  <si>
    <t>PLANALTINA (GO) EIXO NORTE E SUL VIA NARA</t>
  </si>
  <si>
    <t>1061</t>
  </si>
  <si>
    <t>PLANALTINA (GO) EIXO NORTE E SUL VIA BRASILINHA 17</t>
  </si>
  <si>
    <t>1074</t>
  </si>
  <si>
    <t>PLANALTINA (GO) W3 NORTE E SUL ROD. PLANALTINA (GO)</t>
  </si>
  <si>
    <t xml:space="preserve"> 1102</t>
  </si>
  <si>
    <t>PLANALTINA (GO) LAGO NORTE VIA ROD. PLANALTINA (GO)</t>
  </si>
  <si>
    <t>1301</t>
  </si>
  <si>
    <t>PLANALTINA (GO) S I A ROD. PLANALTINA (GO)</t>
  </si>
  <si>
    <t>1322</t>
  </si>
  <si>
    <t>PLANALTINA (GO) SETOR GRÁFICO VIA MUTIRÃO</t>
  </si>
  <si>
    <t xml:space="preserve">1323 </t>
  </si>
  <si>
    <t>PLANALTINA (GO) SETOR GRÁFICO VIA SETOR OESTE / SUL</t>
  </si>
  <si>
    <t>1324</t>
  </si>
  <si>
    <t>PLANALTINA (GO) SETOR GRÁFICO VIA ROD. PLANALTINA (GO)</t>
  </si>
  <si>
    <t>1326</t>
  </si>
  <si>
    <t>PLANALTINA (GO) NOROESTE VIA ROD. PLANALTINA (GO)</t>
  </si>
  <si>
    <t>1327</t>
  </si>
  <si>
    <t>PLANALTINA (GO) NOROESTE VIA MUTIRÃO</t>
  </si>
  <si>
    <t>1901</t>
  </si>
  <si>
    <t>PLANALTINA (GO)  SOBRADINHO VIA ROD. PLANALTINA (GO)</t>
  </si>
  <si>
    <t>1902</t>
  </si>
  <si>
    <t>PLANALTINA (GO)  SOBRADINHO GRANDE COLORADO (VIA BELA VISTA)</t>
  </si>
  <si>
    <t>1950</t>
  </si>
  <si>
    <t>12107070</t>
  </si>
  <si>
    <t>PLANALTINA (GO) PLANALTINA (DF) VIA ESTÂNCIA</t>
  </si>
  <si>
    <t>1952</t>
  </si>
  <si>
    <t>PLANALTINA (GO) PLANALTINA (DF) VIA RORIZ</t>
  </si>
  <si>
    <t>9901</t>
  </si>
  <si>
    <t>12033870</t>
  </si>
  <si>
    <t>ROD. FORMOSA – ROD. PLANALTINA (DF) VIA BR-020 / JD. RORIZ</t>
  </si>
  <si>
    <t>08058770</t>
  </si>
  <si>
    <t>ÁGUAS DE LINDOIA</t>
  </si>
  <si>
    <t>MONTE SIÃO</t>
  </si>
  <si>
    <t>06014570</t>
  </si>
  <si>
    <t>BRAGANÇA PAULISTA</t>
  </si>
  <si>
    <t>CENTRAL EXPRESSO LTDA</t>
  </si>
  <si>
    <t>LUZIÂNIA (LUZIÂNIA SHOPPING - AV. ALFREDO NASSER) / RODOVIÁRIA DO PLANO PILOTO (BR-040 - ZOOLÓGICO - EIXO)</t>
  </si>
  <si>
    <t>LUZIÂNIA (LUZIÂNIA SHOPPING - AV. ALFREDO NASSER) / GUARÁ I E II (BR-040 - PARK SHOPPING)</t>
  </si>
  <si>
    <t>LUZIÂNIA (LUZIÂNIA SHOPPING - AV. ALFREDO NASSER) / LAGO SUL (BR-040 - AEROPORTO)</t>
  </si>
  <si>
    <t>LUZIÂNIA (SHOPPING LUZIÂNIA - PARQUE JK - PARQUE ALVORADA I) / RODOVIÁRIA DO PLANO PILOTO (BR-040 - PARK SHOPPING - EIXO)</t>
  </si>
  <si>
    <t>LUZIÂNIA (LUZIÂNIA SHOPPING - AV. ALFREDO NASSER) / RODOVIÁRIA DO PLANO PILOTO (BR-040 - PARK SHOPPING - EIXO SUL)</t>
  </si>
  <si>
    <t>PARQUE ESTRELA DALVA II - IV - VIII - V (AV. ALFREDO NASSER) / RODOVIÁRIA DO PLANO PILOTO (BR-040 - PARK SHOPPING - SPS - ZOOLÓGICO - EIXO)</t>
  </si>
  <si>
    <t>LUZIÂNIA (LUZIÂNIA SHOPPING - AV. ALFREDO NASSER) / RODOVIÁRIA DO PLANO PILOTO (BR-040 - ZOOLÓGICO - EIXO - ESPLANADA)</t>
  </si>
  <si>
    <t>LUZIÂNIA (PARQUE ESTRELA DALVA I - JARDIM LUZILIA - SOL NASCENTE) / RODOVIÁRIA DO PLANO PILOTO (BR-040 - ZOOLÓGICO - EIXO)</t>
  </si>
  <si>
    <t>PARQUE ESTRELA DALVA 2, 4, 8 E 5 (AV. ALFREDO NASSER) / W3 NORTE (BR-040 - PARK SHOPPING - SPS - EIXO)</t>
  </si>
  <si>
    <t>LUZIÂNIA (SHOPPING LUZIÂNIA - PARQUE JK - PARQUE ALVORADA I ) / W3 SUL E NORTE (BR-040 - PARK SHOPPING - SPS)</t>
  </si>
  <si>
    <t>LUZIÂNIA (SHOPPING LUZIÂNIA - AV. ALFREDO NASSER) / W3 SUL E NORTE (BR-040 - PARK SHOPPING - SPS)</t>
  </si>
  <si>
    <t>LUZIÂNIA (PARQUE ESTRELA DALVA I - JARDIM LUZILIA - SOL NASCENTE) / W3 NORTE (BR-040 - PARK SHOPPING - SIG)</t>
  </si>
  <si>
    <t>LUZIÂNIA (SHOPPING LUZIÂNIA - AV. ALFREDO NASSER) / RODOVIÁRIA DO GAMA (BR-040 - SETOR CENTRAL)</t>
  </si>
  <si>
    <t>LUZIÂNIA (SHOPPING LUZIÂNIA - AV. ALFREDO NASSER) / TERMINAL DE INTEGRAÇÃO SANTA MARIA (AVENIDA ALAGADO)</t>
  </si>
  <si>
    <t>LUZIÂNIA (SHOPPING LUZIÂNIA - AV. ALFREDO NASSER) / ÁGUAS CLARAS (BR-040 - EPCT - EPNB - PISTÃO SUL)</t>
  </si>
  <si>
    <t>CIRCULAR NOSSA SENHORA APARECIDA LTDA</t>
  </si>
  <si>
    <t>BARRA DO GARÇA</t>
  </si>
  <si>
    <t>ARAGARÇAS</t>
  </si>
  <si>
    <t>SANTO ANTÔNIO DA PLATINA</t>
  </si>
  <si>
    <t>JOAFRA TRANSPORTE LTDA</t>
  </si>
  <si>
    <t xml:space="preserve">JUAZEIRO - PETROLINA VIA CENTRO PETRO/SHOPPING </t>
  </si>
  <si>
    <t xml:space="preserve">JUAZEIRO - PETROLINA VIA CENTRO/AREIA BRANCA </t>
  </si>
  <si>
    <t xml:space="preserve">JUAZEIRO - PETROLINA VIA IF SERTÃO / IPSEP </t>
  </si>
  <si>
    <t xml:space="preserve">JUAZEIRO - PETROLINA VIA EXPRESSO CENTRO PETROLINA </t>
  </si>
  <si>
    <t xml:space="preserve">JUAZEIRO - PETROLINA VIA CORUJÃO </t>
  </si>
  <si>
    <t xml:space="preserve">JUAZEIRO - PETROLINA VIA CAMPUS UNIVERSITÁRIO </t>
  </si>
  <si>
    <t xml:space="preserve">JUAZEIRO - PETROLINA VIA AVENIDA DA INTEGRAÇÃO/ FACAPE </t>
  </si>
  <si>
    <t xml:space="preserve">JUAZEIRO - PETROLINA  </t>
  </si>
  <si>
    <t>JARDIM INGÁ (AV. LUCENA RORIZ) / RODOVIÁRIA DO PLANO PILOTO (ZOOLÓGICO - EIXO SUL)</t>
  </si>
  <si>
    <t>JARDIM INGÁ (AV. LUCENA RORIZ) / L2 SUL E NORTE (ZOOLÓGICO - UNB - SETOR NORESTE)</t>
  </si>
  <si>
    <t>Semiexpresso</t>
  </si>
  <si>
    <t>JARDIM INGÁ (PARQUE ESTRELA DALVA X) / RODOVIÁRIA DO PLANO PILOTO (ZOOLÓGICO - EIXO SUL)</t>
  </si>
  <si>
    <t>JARDIM INGÁ (SOL NASCENTE - CIDADE INDUSTRIAL FRACAROLI) / RODOVIÁRIA DO PLANO PILOTO (PARK SHOPPING - SPS - EIXO SUL)</t>
  </si>
  <si>
    <t>JARDIM INGÁ (PARQUE ESTRELA DALVA X) / RODOVIÁRIA DO PLANO PILOTO (ZOOLÓGICO - EIXO SUL - ESPLANADA) - SEMIEXPRESSA</t>
  </si>
  <si>
    <t>JARDIM INGÁ (AV. LUCENA RORIZ) / RODOVIÁRIA DO PLANO PILOTO (ZOOLÓGICO - EIXO SUL - ESPLANADA) - SEMIEXPRESSA</t>
  </si>
  <si>
    <t>JARDIM INGÁ (SOL NASCENTE - CIDADE INDUSTRIAL FRACAROLI) / W3 NORTE (EPIA - PARK SHOPPING - SIG)</t>
  </si>
  <si>
    <t>JARDIM INGÁ (AV. LUCENA RORIZ) / W3 SUL E NORTE / SETOR NOROESTE - SEMIEXPRESSA</t>
  </si>
  <si>
    <t>JARDIM INGÁ (PARQUE ESTRELA DALVA X) / W3 SUL E NORTE (PARK SHOPPING - SPS) / SETOR NOROESTE - SEMIEXPRESSA</t>
  </si>
  <si>
    <t>JARDIM INGÁ (AV. LUCENA RORIZ) / SIA-SAAN (EPIA) - SEMIEXPRESSA</t>
  </si>
  <si>
    <t>JARDIM INGÁ (AV. LUCENA RORIZ - AV. JOAQUIM GILBERTO) / LAGO SUL (AEROPORTO)</t>
  </si>
  <si>
    <t>JARDIM INGÁ (AV. LUCENA RORIZ - AV. JOAQUIM GILBERTO) / LAGO SUL (AEROPORTO) - SEMIEXPRESSA</t>
  </si>
  <si>
    <t>JARDIM INGÁ - GUARÁ VIA SIG - SEMIEXPRESSA</t>
  </si>
  <si>
    <t>JARDIM INGÁ (AV. LUCENA RORIZ) / SETOR NOROESTE (EPDB - W3 SUL E NORTE) - SEMIEXPRESSA</t>
  </si>
  <si>
    <t xml:space="preserve">JARDIM INGÁ (PARQUE ESTRELA DALVA X) / ÁGUAS CLARAS (BR-040 - EPCT - PISTÃO SUL)  </t>
  </si>
  <si>
    <t>JARDIM INGÁ - TAGUATINGA VIA ÁGUAS CLARAS</t>
  </si>
  <si>
    <t>JARDIM INGÁ (PARQUE ESTRELA DALVA X) / RODOVIÁRIA DO GAMA(SETOR CENTRAL)</t>
  </si>
  <si>
    <t>RÁPIDO LUXO CAMPINAS LTDA</t>
  </si>
  <si>
    <t>NOVO GAMA (SANTA LUZIA - LAGO AZUL) / RODOVIÁRIA DO PLANO PILOTO (PARK SHOPPING - SPS - EIXO SUL)</t>
  </si>
  <si>
    <t>NOVO GAMA (SANTA LUZIA - LAGO AZUL) / RODOVIÁRIA DO PLANO PILOTO (PARK SHOPPING - ZOOLÓGICO - EIXO SUL)</t>
  </si>
  <si>
    <t>NOVO GAMA (RESIDENCIAL BRASÍLIA - SANTA LUZIA - LAGO AZUL) / RODOVIÁRIA DO PLANO PILOTO (PARK SHOPPING - EIXO SUL - ESPLANADA)</t>
  </si>
  <si>
    <t>NOVO GAMA (LUNABEL) / RODOVIÁRIA DO PLANO PILOTO (PARK SHOPPING - ZOOLÓGICO - EIXO SUL)</t>
  </si>
  <si>
    <t>NOVO GAMA (RESIDENCIAL BRASÍLIA - SANTA LUZIA - LAGO AZUL) / RODOVIÁRIA DO PLANO PILOTO (PARK SHOPPING - SPS - EIXO SUL)</t>
  </si>
  <si>
    <t>NOVO GAMA (AMÉRICA DO SUL - ALVORADA - LUNABEL) / RODOVIÁRIA DO PLANO PILOTO (PARK SHOPPING - ZOOLÓGICO - EIXO SUL - ESPLANADA)</t>
  </si>
  <si>
    <t>NOVO GAMA (SANTA LUZIA - LAGO AZUL) / W3 SUL E NORTE (PARK SHOPPING - SPS) / SETOR NOROESTE</t>
  </si>
  <si>
    <t>NOVO GAMA (AMÉRICA DO SUL - ALVORADA - LUNABEL) / W3 SUL E NORTE (PARK SHOPPING - SPS) / SETOR NOROESTE</t>
  </si>
  <si>
    <t>NOVO GAMA (RESIDENCIAL BRASÍLIA - SANTA LUZIA - LAGO AZUL) / W3 SUL E NORTE (AEROPORTO - EPAR) / SETOR NOROESTE</t>
  </si>
  <si>
    <t>NOVO GAMA (RESIDENCIAL BRASÍLIA - SANTA LUZIA - LAGO AZUL) / LAGO SUL (AEROPORTO) / RODOVIÁRIA DO PLANO PILOTO (ESPLANADA)</t>
  </si>
  <si>
    <t>NOVO GAMA (SANTA LUZIA - LAGO AZUL) / W3 NORTE (EPIA - PARK SHOPPING - SIG) / SETOR NOROESTE</t>
  </si>
  <si>
    <t>NOVO GAMA (RESIDENCIAL BRASÍLIA - SANTA LUZIA - LAGO AZUL) / L2 NORTE (EPIA - PARK SHOPPING - SIG - ESPLANADA) / SETOR NOROESTE</t>
  </si>
  <si>
    <t>NOVO GAMA (RESIDENCIAL BRASÍLIA - SANTA LUZIA - LAGO AZUL) / SIA-SAAN-SOFN (EPIA - PARK SHOPPING) / SETOR NOROESTE</t>
  </si>
  <si>
    <t>NOVO GAMA (AMÉRICA DO SUL - ALVORADA) / SIA-SAAN (EPIA - PARK SHOPPING) / SOFN</t>
  </si>
  <si>
    <t>12041470</t>
  </si>
  <si>
    <t>12280070</t>
  </si>
  <si>
    <t>ÁGUAS LINDAS DE GOIÁS/GO - TAGUATINGA/DF</t>
  </si>
  <si>
    <t>GIRASSOL/COCALZINHO (GO)/BRASÍLIA VIA W3 SUL</t>
  </si>
  <si>
    <t>RODOVIÁRIA DO NOVO GAMA / RODOVIÁRIA DO GAMA (SETOR CENTRAL)</t>
  </si>
  <si>
    <t>UTB - UNIÃO TRANSPORTE BRASÍLIA LTDA</t>
  </si>
  <si>
    <t>RODOVIÁRIA DE ÁGUAS LINDAS DE GOIÁS (JARDIM BRASÍLIA) / SAAN (ESTRUTURAL - EPIA) / SETOR NOROESTE</t>
  </si>
  <si>
    <t xml:space="preserve">VALPARAISO -  ROD. PLANO PILOTO VIA ETAPA B / BR 040 / PARK SHOPPING  </t>
  </si>
  <si>
    <t>5009E</t>
  </si>
  <si>
    <t xml:space="preserve">VALPARAISO -  ROD. PLANO PILOTO VIA ETAPA B / BR-040 / PARK SHOPPING </t>
  </si>
  <si>
    <t>VALPARAÍSO II/CÉU AZUL/GO -PARANOÁ/DF</t>
  </si>
  <si>
    <t>VALPARAÍSO II / VIA BR-040/ AEROPORTO/ JARDIM BOTÂNICO /SÃO SEBASTIÃO</t>
  </si>
  <si>
    <t xml:space="preserve">VALPARAÍSO – ROD. PLANO PILOTO VIA ETAPA B / BALÃO DO AEROPORTO /EIXO W SUL / ESPLANADA </t>
  </si>
  <si>
    <t>VALPARAÍSO I /W3 SUL/NORTE(VIA YPIRANGA) EXPRESSO BRT</t>
  </si>
  <si>
    <t>5303</t>
  </si>
  <si>
    <t>VALPARAÍSO DE GOIÁS/GO (MARAJÓ)- W3 NORTE/DF VIA BR. 040.</t>
  </si>
  <si>
    <t>PQ MARAJO / W3 NORTE (SETOR GRAFICO) EXPRESSO BRT</t>
  </si>
  <si>
    <t>12500270</t>
  </si>
  <si>
    <t>JARDIM ABC/ROD. DO PLANO PILOTO (VIA L2 SUL/ESPLANADA)</t>
  </si>
  <si>
    <t>JARDIM ABC (LAGO SUL) W3 SUL NORTE/NOROESTE (HOSPITAL DA CRIANÇA)</t>
  </si>
  <si>
    <t>CIDADE OCIDENTAL (FRIBURGO/NÁPOLIS/ARAGUARI) VIA BR-040 – PARKSHOPPING - RODOVIÁRIA PLANO PILOTO</t>
  </si>
  <si>
    <t xml:space="preserve">CID. OCIDENTAL – VILLE DE MONTAGNE VIA JD. ABC / DF-140 </t>
  </si>
  <si>
    <t xml:space="preserve">CID. OCIDENTAL – VILLE DE MONTAGNE VIA JD. ABC / SÃO SEBASTIÃO </t>
  </si>
  <si>
    <t>CIDADE OCIDENTAL - ROD. PLANO PILOTO VIA EPGU-ZOOLÓGICO / EIXO W SUL</t>
  </si>
  <si>
    <t>CIDADE OCIDENTAL (FRIBURGO/NÁPOLIS/ARAGUARI) VIA BR-040 – ZOOLÓGICO - RODOVIÁRIA PLANO PILOTO</t>
  </si>
  <si>
    <t xml:space="preserve">CID. OCIDENTAL (FRIBURGO) – W3 NORTE E SUL VIA BALÃO DO AEROPORTO </t>
  </si>
  <si>
    <t>CIDADE OCIDENTAL - ITAPOÃ VIA JARDIM ABC / PARANOÁ</t>
  </si>
  <si>
    <t>8009E</t>
  </si>
  <si>
    <t>CIDADE OCIDENTAL - ROD. PLANO PILOTO VIA PARKSHOPPING / EIXO W SUL</t>
  </si>
  <si>
    <t>12500220</t>
  </si>
  <si>
    <t>CIDADE OCIDENTAL – ROD. PLANO PILOTO VIA BALÃO DO AEROPORTO / ESPLANADA</t>
  </si>
  <si>
    <t>8801</t>
  </si>
  <si>
    <t>12500470</t>
  </si>
  <si>
    <t>CIDADE OCIDENTAL – ROD. DE TAGUATINGA VIA EPNB / PISTÃO SUL</t>
  </si>
  <si>
    <t>MONTE ALTO - ÁGUAS CLARAS VIA BRAZLÂNDIA / INCRA 08 / HÉLIO PRATES</t>
  </si>
  <si>
    <t>MONTE ALTO - ÁGUAS CLARAS VIA BRAZLÂNDIA / INCRA 08 / HÉLIO PRATES )</t>
  </si>
  <si>
    <t>MONTE ALTO - TAGUATINGA VIA BRAZLÂNDIA / INCRA 08 / BR 070 / HELIO PRATES / COMERCIAL NORTE</t>
  </si>
  <si>
    <t>MONTE ALTO - NÚCLEO BANDEIRANTE VIA BRAZLÂNDIA / FASSINCRA / COMERCIAL NORTE E SUL</t>
  </si>
  <si>
    <t xml:space="preserve">MONTE ALTO - ESPLANADA VIA ROD. PLANO PILOTO / EIXO W / EPTG / PISTÃO NORTE / FASSINCRA / BRAZLÂNDIA </t>
  </si>
  <si>
    <t xml:space="preserve">MONTE ALTO - ROD. PLANO PILOTO VIA BRAzLÂNDIA / FASSINCRA / ESTRUTURAL / EIXO MONUMENTAL / AEROPORTO / EIXO W </t>
  </si>
  <si>
    <t xml:space="preserve">MONTE ALTO - ROD. PLANO PILOTO VIA EIXO W / EPIA / FASSINCRA / ESTRUTURAL </t>
  </si>
  <si>
    <t xml:space="preserve">MONTE ALTO - ROD. PLANO PILOTO VIA EIXO W/ EPTG / COMERCIAL NORTE / HELIO PRATES / BR 070 / INCRA 08 / BRAZLÂNDIA </t>
  </si>
  <si>
    <t>PEDREGAL (PARQUE ESTRELA DALVA) / RODOVIÁRIA DO PLANO PILOTO (PARK SHOPPING - EIXO SUL)</t>
  </si>
  <si>
    <t>PEDREGAL (PARQUE ESTRELA DALVA) / RODOVIÁRIA DO PLANO PILOTO (ZOOLÓGICO - EIXO SUL)</t>
  </si>
  <si>
    <t>PEDREGAL (RODOVIÁRIA DO NOVO GAMA) / RODOVIÁRIA DO PLANO PILOTO (PARK SHOPPING - EIXO SUL)</t>
  </si>
  <si>
    <t>PEDREGAL (RODOVIÁRIA DO NOVO GAMA) / RODOVIÁRIA DO PLANO PILOTO (ZOOLÓGICO - EIXO SUL - ESPLANADA)</t>
  </si>
  <si>
    <t>PEDREGAL (RODOVIÁRIA DO NOVO GAMA) / EIXO L SUL E NORTE (ZOOLÓGICO)</t>
  </si>
  <si>
    <t>PEDREGAL (RODOVIÁRIA DO NOVO GAMA) / SUDOESTE (EPIA - PARK SHOPPING - SIG)</t>
  </si>
  <si>
    <t>PEDREGAL (RODOVIÁRIA DO NOVO GAMA) / W3 NORTE (EPIA - PARK SHOPPING - SIG) / SETOR NOROESTE</t>
  </si>
  <si>
    <t>PEDREGAL (RODOVIÁRIA DO NOVO GAMA) / EIXO L SUL E NORTE (ZOOLÓGICO) - SEMIEXPRESSA</t>
  </si>
  <si>
    <t>PEDREGAL (RODOVIÁRIA DO NOVO GAMA) / W3 SUL E NORTE (PARK SHOPPING) / SETOR NOROESTE - SEMIEXPRESSA</t>
  </si>
  <si>
    <t>PEDREGAL (RODOVIÁRIA DO NOVO GAMA) / W3 NORTE (EPIA - PARK SHOPPING - SIG) / SETOR NOROESTE - SEMIEXPRESSA</t>
  </si>
  <si>
    <t>4070E</t>
  </si>
  <si>
    <t>PEDREGAL/ NOVO GAMA/CANDANGOLANDIA/ZOOLOGICO/ ESPLANADA</t>
  </si>
  <si>
    <t>12197370</t>
  </si>
  <si>
    <t>ÁGUAS LINDAS DE GOIÁS (SANTA LÚCIA - JARDIM BRASÍLIA) / BRAZLÂNDIA (PADRE LÚCIO - TERMINAL VEREDAS)</t>
  </si>
  <si>
    <t>SCRUB</t>
  </si>
  <si>
    <t>RB Confecções</t>
  </si>
  <si>
    <t>A elaboração do presente orçamento, conforme planilhas constantes do Termo de Referência, teve por base as orientações da Decisão TCDF nº 544/2010, tendo-se adotado como referência de preços  o  posto de serviço um valor ligeiramente acima do menor valor entre a média e a mediana dos preços pesquisados, por entender que tal montante é o que mais se aproxima do valor de mercado, considerando as especificações constantes do Termo de Referência. Frise-se que os valores orçados para a contratação irão cair após o processo licitatório, em razão de ajustes  ao valor proposto pelo licitante vencendor, em especial as rubricas relativas a uniformes, vale-transporte, RAT x FAP, custo de reposição do profissional ausente (módulo 4), despesas admistrativas, lucro e tributos.</t>
  </si>
  <si>
    <t>Alínea VII do item 12.3</t>
  </si>
  <si>
    <t>Linhas com Autorização Especial reajustadas Deliberação nº 79, de 14 de fevereiro de 2025, publicada no Diário Oficial da União de 18/02/2025, com entrada em vigor em 23/02/2025</t>
  </si>
  <si>
    <t>Linha Petrolina (PE) - Juazeiro (BA) reajustadas Deliberação nº 80, de 14 de fevereiro de 2025, no Diário Oficial da União de 18/02/2025, com entrada em vigor em 23/02/2025</t>
  </si>
  <si>
    <t>Atualizado em 26/06/2025 - Serviços Semiurbanos Interestaduais</t>
  </si>
  <si>
    <t>Tarifa 2025</t>
  </si>
  <si>
    <t>Urbano</t>
  </si>
  <si>
    <t>R$11.05</t>
  </si>
  <si>
    <t>1003</t>
  </si>
  <si>
    <t>ROD. PLANALTINA – GO/ ROD. PLANO PILOTO</t>
  </si>
  <si>
    <t>1059</t>
  </si>
  <si>
    <t>PLANALTINA – GO MULTIRÃO/ ROD. PLANO PILOTO (VIA EIXO NORTE)</t>
  </si>
  <si>
    <t>1073</t>
  </si>
  <si>
    <t>ROD.PLANALTINA-GO (VIA FEIRA) EIXO W NORTE E SUL</t>
  </si>
  <si>
    <t xml:space="preserve">
ROD. LUZIÂNIA/GO - L2 SUL/NORTE</t>
  </si>
  <si>
    <t>LUZIÂNIA - W3 NORTE VIA PARKSHOPPING / SIG</t>
  </si>
  <si>
    <t>LUZIÂNIA/W3 NORTE SETOR GRÁFICO</t>
  </si>
  <si>
    <t>PARQUE 8 - W3 SUL E NORTE VIA PARKSHOPPING / SIG</t>
  </si>
  <si>
    <t>LUZIÂNIA - S I A / SAAN VIA PARKSHOPPING</t>
  </si>
  <si>
    <t>LUZIÂNIA/GAMA, VIA PARQUE ALVORADA</t>
  </si>
  <si>
    <t>LUZIÂNIA – ROD. GAMA VIA PQ. ALVORADA / DF-290</t>
  </si>
  <si>
    <t>LUZIÂNIA/GO - SANTA MARIA/DF (BRT)</t>
  </si>
  <si>
    <t xml:space="preserve">ROD. LUZIÂNIA – POLO JK </t>
  </si>
  <si>
    <t>ROD. LUZIÂNIA/GO - ROD. TAGUATINGA, VIA PISTÃO SUL</t>
  </si>
  <si>
    <t>LUZIÂNIA – ROD. TAGUATINGA VIA PQ. ALVORADA / PISTÃO SUL</t>
  </si>
  <si>
    <t>LUZIÂNIA / RODOVIÁRIA DO PLANO (VIA SETOR GRÁFICO)</t>
  </si>
  <si>
    <t>PARQUE INDUSTRIAL MINGONE</t>
  </si>
  <si>
    <t>6001E</t>
  </si>
  <si>
    <t>JARDIM INGÁ – RODOVIÁRIA PLANO PILOTO, VIA ZOOLÓGICO, SEMIEXPRESSO, VIA BRT</t>
  </si>
  <si>
    <t>6002E</t>
  </si>
  <si>
    <t>JARDIM INGÁ x L2 SUL E NORTE - VIA ZOOLÓGICO / UNB / NOROESTE (SEMIEXPRESSO VIA BRT)</t>
  </si>
  <si>
    <t>6009E</t>
  </si>
  <si>
    <t>JARDIM INGÁ – RODOVIÁRIA PLANO PILOTO, VIA PARQUE SHOPPING, SEMIEXPRESSO, VIA BRT</t>
  </si>
  <si>
    <t>JARDIM INGÁ - W3 NORTE VIA P.E.D. 9 / MINGONE I / SETOR GRAFICO / PARKSHOPPING</t>
  </si>
  <si>
    <t>JARDIM INGÁ - W3 SUL E NORTE, VIA P.E.D 10</t>
  </si>
  <si>
    <t>SOL NASCENTE - W3 SUL E NORTE VIA CIDADE FRANCAROLI E OSFAYA</t>
  </si>
  <si>
    <t>6018E</t>
  </si>
  <si>
    <t>JARDIM INGÁ (SOL NASCENTE) x ROD. PLANO PILOTO - VIA ZOOLÓGICO / EIXO SUL (SEMIEXPRESSO VIA BRT)</t>
  </si>
  <si>
    <t>JARDIM INGÁ - ESPLANADA, VIA P.E.D. 10</t>
  </si>
  <si>
    <t>JARDIM INGÁ X W3 NORTE - VIA PARKSHOPPING/SIG</t>
  </si>
  <si>
    <t>JARDIM INGÁ X W3 NORTE - VIA PARKSHOPPING/SIG/NOROESTE</t>
  </si>
  <si>
    <t>JARDIM INGÁ X W3 SUL E NORTE - VIA PARKSHOPPING / NOROESTE</t>
  </si>
  <si>
    <t>JARDIM INGÁ (P.E.D X) x W3 NORTE - VIA PARKSHOPPING / SIG / NOROESTE</t>
  </si>
  <si>
    <t>JARDIM INGÁ - SIA/SAAN VIA PARKSHOPPING / P.E.D. 8</t>
  </si>
  <si>
    <t>6307E</t>
  </si>
  <si>
    <t>JARDIM INGÁ (SOL NASCENTE) x SIA/SAAN - VIA PARKSHOPPING (SEMIEXPRESSO VIA BRT)</t>
  </si>
  <si>
    <t>JARDIM INGÁ - RODOVIÁRIA DE TAGUATINGA, VIA PISTÃO SUL - TAGUATINGA CENTRO</t>
  </si>
  <si>
    <t>6708</t>
  </si>
  <si>
    <t>JARDIM INGÁ (SOL NASCENTE) x RODOVIÁRIA DO GAMA - VIA BR-040 / DF-290</t>
  </si>
  <si>
    <t>ROTA DO SOL TRANSPORTES E TURISMO LTDA</t>
  </si>
  <si>
    <t>NOVO GAMA</t>
  </si>
  <si>
    <t>RESIDENCIAL SANTA LUZIA, NOVO GAMA-GO / CÓRREGO DAS ONÇAS (BR 251-KM-59,1)</t>
  </si>
  <si>
    <t>RESIDENCIAL SANTA LUZIA, LAGO AZUL /GO - GUARÁ I /DF</t>
  </si>
  <si>
    <t>GLOBAL TRANSPORTES RODOVIÁRIOS LTDA</t>
  </si>
  <si>
    <t>39.805.770/0001-47</t>
  </si>
  <si>
    <t xml:space="preserve">ROYAL PARK - BR070/ESTRUTURAL/JOCKEY CLUB/GUARÁ 1-2/VIA SRPN TRECHO 2- ESTACIONAMENTO </t>
  </si>
  <si>
    <t>SANTA LÚCIA - BR070/ESTRUTURAL/JOCKEY CLUB/SET. POLICIAL SUL/ROD. PLANO PILOTO</t>
  </si>
  <si>
    <t>ROYAL PARK/ BR070/ESTRUTURAL/EIXO MONUMENTAL/ ROD. PLANO PILOTO</t>
  </si>
  <si>
    <t>ROYAL PARK- BR070/ESTRUTURAL/EIXO MONUMENTAL/W3 NORTE/ NOROESTE</t>
  </si>
  <si>
    <t>RM TRANSPORTE LTDA</t>
  </si>
  <si>
    <t>41.562.791/0001-20</t>
  </si>
  <si>
    <t>SANTO ANTÔNIO DESCOBERTO/GO-BRASÍLIA/DF, VIA EIXO</t>
  </si>
  <si>
    <t>SANTO ANTÔNIO DESCOBERTO (GO) / BRASÍLIA VIA PARK SHOPPING, NOROESTE</t>
  </si>
  <si>
    <t>SANTO ANTÔNIO DESCOBERTO (GO) / BRASÍLIA (DF) VIA PARK SHOPPING, NOROESTE</t>
  </si>
  <si>
    <t>SANTO ANTÔNIO DESCOBERTO (GO) / BRASÍLIA (DF) VIA EIXO</t>
  </si>
  <si>
    <t>SANTO ANTÔNIO DESCOBERTO (GO) / BRASÍLIA (DF) VIA SIG / ÁGUAS CLARAS</t>
  </si>
  <si>
    <t>SANTO ANTÔNIO DESCOBERTO (GO) / BRASÍLIA (DF) SIA TRECHO 2/3 - SIG</t>
  </si>
  <si>
    <t>PARQUE SAD/ ROD. QUEIROZ/ BRASÍLIA/ PARK SHOPPING/ NOROESTE</t>
  </si>
  <si>
    <t>SANTO ANTÔNIO DESCOBERTO/GO-TAGUATINGA/DF, VIA SAMAMBAIA</t>
  </si>
  <si>
    <t>ROYAL PARK - BR-070, VIA LESTE/CEILÂNDIA NORTE/HELIO PRATES, VIA COMERCIAL NORTE/ELMO SEREJO/ROD.TAGUATINGA</t>
  </si>
  <si>
    <t>JARDIM GUAIRA - BR 070, VIA LESTE, CEILÂNDIA NORTE/HÉLIO PRATES, VIA COMERCIAL NORTE E SUL/PISTÃO SUL/CATÓLICA</t>
  </si>
  <si>
    <t>ROYAL PARK - BR-070, VIA LESTE/CEILÂNDIA NORTE/HELIO PRATES, VIA COMERCIAL NORTE//PISTÃO SUL/CATÓLICA</t>
  </si>
  <si>
    <t>TAGUATINGA CENTRO, SANDU NORTE/HÉLIO PRATES/CEILÂNDIA  NORTE, VIA LESTE/BR 070/ PINHEIROS 2 E 1</t>
  </si>
  <si>
    <t>2862</t>
  </si>
  <si>
    <t>SANTA LÚCIA/HÉLIO PRATES/ÁGUAS CLARAS</t>
  </si>
  <si>
    <t>2859</t>
  </si>
  <si>
    <t>PINHEIRO 1/HÉLIO PRATES/ÁGUAS CLARAS</t>
  </si>
  <si>
    <t xml:space="preserve">Tarifa Promocional a partir de  01/03/2024 </t>
  </si>
  <si>
    <t>NÚCLEO RESIDENCIAL/LAGO AZUL/ SANTA MARIA - BRT</t>
  </si>
  <si>
    <t>2008.1</t>
  </si>
  <si>
    <t>PEROLA 2 / ROD. P. PILOTO (EPTG-EIXO SUL)</t>
  </si>
  <si>
    <t>2015.1</t>
  </si>
  <si>
    <t xml:space="preserve">PINHEIRO 2/ROD. P. PILOTO(EPTG-EIXO SUL) </t>
  </si>
  <si>
    <t>2016.1</t>
  </si>
  <si>
    <t>PINHEIRO 2 (Entrada do pinheiro 2) - ROD. PLANO PILOTO / VIA ESTRUTURAL-EIXO MONUMENTAL</t>
  </si>
  <si>
    <t>2049.1</t>
  </si>
  <si>
    <t>PINHEIRO 2/ESPLANADA - RPP (ESTRUTURAL - EIXO MONUMENTAL)</t>
  </si>
  <si>
    <t>2066.1</t>
  </si>
  <si>
    <t>PINHEIRO 1/W3 NORTE - L2 NORTE (ESTRUTURAL - EIXO MONUMENTAL)</t>
  </si>
  <si>
    <t>CHIOLA/W3 NORTE - ESTRUTURAL - EIXO MONUMENTAL - NOROESTE</t>
  </si>
  <si>
    <t>2069.1</t>
  </si>
  <si>
    <t>PINHEIRO 2/W3 NORTE - L2 NORTE (ESTRUTURAL - EIXO MONUMENTAL)</t>
  </si>
  <si>
    <t>2320.1</t>
  </si>
  <si>
    <t xml:space="preserve">CHIOLA/SETOR GRÁFICO(ESTRUTURAL) </t>
  </si>
  <si>
    <t>2323.1</t>
  </si>
  <si>
    <t>PINHEIRO 1/SETOR.GRÁFICO (ESTRUTURAL-HFA)</t>
  </si>
  <si>
    <t>2324.1</t>
  </si>
  <si>
    <t>PINHEIRO 2/SETOR.GRÁFICO-HFA-RPP (ESTRUTURAL)</t>
  </si>
  <si>
    <t>2324.2</t>
  </si>
  <si>
    <t>PINHEIRO 2/SETOR.GRÁFICO-HFA (ESTRUTURAL)</t>
  </si>
  <si>
    <t>2324.3</t>
  </si>
  <si>
    <t>PINHEIRO 2/T.CRUZEIRO - SETOR.GRÁFICO (ESTRUTURAL)</t>
  </si>
  <si>
    <t>2361.1</t>
  </si>
  <si>
    <t>PINHEIRO 2/SAAN - NOROESTE (ESTRUTURAL)</t>
  </si>
  <si>
    <t>PINHEIRO 2/SIA - W3 SUL (ESTRUTUTAL)</t>
  </si>
  <si>
    <t>2363.1</t>
  </si>
  <si>
    <t>CHIOLA/SIA-W3 SUL (ESTRUTUTAL)</t>
  </si>
  <si>
    <t>2602.1</t>
  </si>
  <si>
    <t>PINHEIRO 2/GUARA 1 e 2 - PARK SHOPPING (EPTG)</t>
  </si>
  <si>
    <t>CÉU AZUL</t>
  </si>
  <si>
    <t>5001E</t>
  </si>
  <si>
    <t>CÉU AZUL(PARKSHOPPING) / ROD. PLANO PILOTO</t>
  </si>
  <si>
    <t>5003.1</t>
  </si>
  <si>
    <t xml:space="preserve">PACAEMBU - CÉU AZUL - EIXO SUL E NORTE </t>
  </si>
  <si>
    <t>5004E</t>
  </si>
  <si>
    <t>PACAEMBU(EIXO SUL) / ROD. PLANO PILOTO</t>
  </si>
  <si>
    <t>CÉU AZUL(ZOOLÓGICO-EIXO SUL) / ESPLANADA</t>
  </si>
  <si>
    <t>12500370</t>
  </si>
  <si>
    <t>5034E</t>
  </si>
  <si>
    <t>CÉU AZUL / SETOR GRÁFICO-W3 NORTE(NOROESTE)</t>
  </si>
  <si>
    <t>PACAEMBU-CÉU AZUL / SETOR GRÁFICO-W3 NORTE(NOROESTE)</t>
  </si>
  <si>
    <t>CEU AZUL - SIA/SAAN / VIA PARKSHOPPING</t>
  </si>
  <si>
    <t>VALPARAISO 1 e 2 (PARK SHOPPING) / ROD. PLANO PILOTO</t>
  </si>
  <si>
    <t>5012E</t>
  </si>
  <si>
    <t>PQ. MARAJO (VALPARAÍSO 2) - ROD.P.PILOTO / VIA PARK SHOPPING</t>
  </si>
  <si>
    <t>5013E</t>
  </si>
  <si>
    <t>VALPARAÍSO II/CÉU AZUL/GO - LAGO AZUL  - QI29</t>
  </si>
  <si>
    <t>5016E</t>
  </si>
  <si>
    <t>VALPARAISO 2 / L2 SUL E NORTE (UNB)</t>
  </si>
  <si>
    <t>5019E</t>
  </si>
  <si>
    <t>VALPARAISO 2(AEROPORTO) / LAGO SUL-JARDIM BOTÂNICO</t>
  </si>
  <si>
    <t>5070E</t>
  </si>
  <si>
    <t>VALP. 1(YPIRANGA) - S. GRÁF. - W3 NORTE / VIA PARK SHOPPING</t>
  </si>
  <si>
    <t>5037E</t>
  </si>
  <si>
    <t>VALPARAISO 1 / SETOR GRÁFICO-W3 NORTE(NOROESTE)</t>
  </si>
  <si>
    <t>IPANEMA / W3 SUL E NORTE (NOROESTE)</t>
  </si>
  <si>
    <t>5039.1E</t>
  </si>
  <si>
    <t>VALPARAISO II-W3 SUL/NORTE (P. SHOPPING-S. POLICIAL)</t>
  </si>
  <si>
    <t>5039.1</t>
  </si>
  <si>
    <t xml:space="preserve">VALPARAISO II-W3 SUL/NORTE - PARK SHOPPING - SETOR POLICIAL </t>
  </si>
  <si>
    <t>5322E</t>
  </si>
  <si>
    <t>VALPARAISO II-SIA-SAAN / VIA PARK SHOPPING</t>
  </si>
  <si>
    <t>5324E</t>
  </si>
  <si>
    <t>VALPARAÍSO I - SAAN - SIA</t>
  </si>
  <si>
    <t>5010E</t>
  </si>
  <si>
    <t>VALPARAISO 1(YPIRANGA-PARK SHOPPING) / ROD. PLANO PILOTO</t>
  </si>
  <si>
    <t>5706.1</t>
  </si>
  <si>
    <t>VALPARAISO 1(ETAPA E-SHOPPING SUL) / GAMA</t>
  </si>
  <si>
    <t>5707</t>
  </si>
  <si>
    <t>PQ MARAJÓ(SANTA RITA-BR 040-SHOPPING SUL) / GAMA</t>
  </si>
  <si>
    <t>5708</t>
  </si>
  <si>
    <t>VALPARAISO 2(CÉU AZUL) / GAMA(GAMA SHOPPING)</t>
  </si>
  <si>
    <t>5822</t>
  </si>
  <si>
    <t>PACAEMBU(CÉU AZUL-DF 290) / TAGUATINGA</t>
  </si>
  <si>
    <t>8002.1</t>
  </si>
  <si>
    <t>JARDIM ABC - ROD. PLANO PILOTO / VIA GILBERTO SALOMÃO</t>
  </si>
  <si>
    <t>8002.2</t>
  </si>
  <si>
    <t xml:space="preserve">B. AEROPORTO - JARDIM ABC / VIA GILBERTO SALOMÃO - CIDADE </t>
  </si>
  <si>
    <t>8002.3</t>
  </si>
  <si>
    <t>JARDIM ABC - ROD. PLANO PILOTO / VIA GILBERTO SALOMÃO - SQ 19</t>
  </si>
  <si>
    <t>8003.1</t>
  </si>
  <si>
    <t>CIDADE OCIDENTAL - JARDIM ABC - ROD. PLANO PILOTO / VIA L2SUL - ESPLANADA</t>
  </si>
  <si>
    <t>8004.1</t>
  </si>
  <si>
    <t>CIDADE OCIDENTAL - JARDIM ABC - W3 SUL E NORTE / VIA QI-15 - AEROPORTO - NOROESTE</t>
  </si>
  <si>
    <t>8015.1</t>
  </si>
  <si>
    <t>JARDIM ABC - ROD. PLANO PILOTO / VIA PONTE JK</t>
  </si>
  <si>
    <t>8027</t>
  </si>
  <si>
    <t>PQ.FRIBURGO - ROD. PLANO PILOTO / VIA C.SAIA VELHA - PARKSHOPPING</t>
  </si>
  <si>
    <t>8028.1</t>
  </si>
  <si>
    <t>JARDIM ABC - VILLE DE MONTAGNE / VIA ESAF - JARDIM SOLAR</t>
  </si>
  <si>
    <t>8028.2</t>
  </si>
  <si>
    <t>BALÃO FRIBURGO-JARDIM ABC - VILLE DE MONTAGNE / VIA ESAF - JARDIM SOLAR</t>
  </si>
  <si>
    <t>8028.3</t>
  </si>
  <si>
    <t>CIDADE OCIDENTAL-JARDIM ABC - VILLE DE MONTAGNE / VIA ESAF - JARDIM SOLAR</t>
  </si>
  <si>
    <t>8030E</t>
  </si>
  <si>
    <t>C. OCID.(AEROPORTO) / L2 SUL-NORTE</t>
  </si>
  <si>
    <t>8071.1</t>
  </si>
  <si>
    <t>CIDADE OCIDENTAL - W3 SUL / VIA BALÃO DO AEROPORTO</t>
  </si>
  <si>
    <t>8071.2</t>
  </si>
  <si>
    <t>CIDADE OCIDENTAL - W3 SUL E NORTE / VIA AEROPORTO</t>
  </si>
  <si>
    <t>8074.1</t>
  </si>
  <si>
    <t>BOM BOSCO(CIDADE OCIDENTAL) - W3 NORTE / VIA JD. ABC - PONTE JK - ESPLANADA</t>
  </si>
  <si>
    <t>8074.2</t>
  </si>
  <si>
    <t>QUADRA 19(CIDADE OCIDENTAL) - W3 NORTE / JD. ABC - PONTE JK - ESPLANADA</t>
  </si>
  <si>
    <t>8074.3</t>
  </si>
  <si>
    <t>JARDIM ABC - W3 NORTE / VIA PONTE JK - ESPLANADA</t>
  </si>
  <si>
    <t>8076.2</t>
  </si>
  <si>
    <t>CIDADE OCIDENTAL - W3 SUL/NORTE / VIA PARQUE NAPOLIS - JARDIM ABC- GILBERTO SALOMÃO</t>
  </si>
  <si>
    <t>8010</t>
  </si>
  <si>
    <t>C.OCIDENTAL / PARK SHOPPING</t>
  </si>
  <si>
    <t>8029E</t>
  </si>
  <si>
    <t>C.OCIDENTAL (VILA SUIÇA) / SETOR GRÁFICO ( W3 NORTE - NOROESTE)</t>
  </si>
  <si>
    <t>8310E</t>
  </si>
  <si>
    <t>PQ. NAPOLIS-ARAGUARI(BALÃO AEROPORTO) / W3 SUL NORTE - NOROESTE</t>
  </si>
  <si>
    <t>8350.1</t>
  </si>
  <si>
    <t>CIDADE OCIDENTAL / SETOR GRÁFICO - QG</t>
  </si>
  <si>
    <t>8350.1E</t>
  </si>
  <si>
    <t>C.OCIDENTAL / SETOR GRAFICO - QG</t>
  </si>
  <si>
    <t>8024E</t>
  </si>
  <si>
    <t>PQ. NAPOLIS-ARAGUARI(P. SHOPPING)/ROD. PLANO PILOTO</t>
  </si>
  <si>
    <t>8370.1</t>
  </si>
  <si>
    <t>JARDIM ABC - CRUZEIRO / VIA PONTE JK - ESPLANADA - SIG</t>
  </si>
  <si>
    <t>8075E</t>
  </si>
  <si>
    <t>PQ. NAPOLIS-ARAGUARI(BALÃO AEROPORTO) / W3 SUL NORTE(NOROESTE)</t>
  </si>
  <si>
    <t>8085E</t>
  </si>
  <si>
    <t>CIDADE OCIDENTAL - W3 NORTE / VIA PARKSHOPPING - SIG - TORRE DE TV</t>
  </si>
  <si>
    <t>8087E</t>
  </si>
  <si>
    <t>CIDADE OCIDENTAL-P.NÁPOLIS-ARAGUARI - S.GRAFICO-W3 NORTE</t>
  </si>
  <si>
    <t>8022E</t>
  </si>
  <si>
    <t>PQ FRIBURGO-S. MATEUS(PARK SHOPPING) / ROD. PLANO PILOTO</t>
  </si>
  <si>
    <t>8026E</t>
  </si>
  <si>
    <t>PQ. FRIBURGO-S.MAT-ARAG.-NAPOLIS(P. SHOPPING) / ROD. PLANO PILOTO</t>
  </si>
  <si>
    <t>8703</t>
  </si>
  <si>
    <t>OCIDENTAL(GAMA SHOPPING) / GAMA</t>
  </si>
  <si>
    <t>12926470</t>
  </si>
  <si>
    <t>2496</t>
  </si>
  <si>
    <t>MONTE ALTO/BRAZLÂNDIA (POR FORA)</t>
  </si>
  <si>
    <t>2497</t>
  </si>
  <si>
    <t>RES. OURO VERDE / BRAZLÂNDIA</t>
  </si>
  <si>
    <t>2076</t>
  </si>
  <si>
    <t>MONTE ALTO/W3 NORTE (RPP/FASSINCRA/EPTG)</t>
  </si>
  <si>
    <t>2077</t>
  </si>
  <si>
    <t>MONTE ALTO/W3 NORTE (INCRA08/BR070/EPTG)</t>
  </si>
  <si>
    <t>PEDREGAL-NOVO GAMA / JARDIM BOTANICO (VIA AEROPORTO) - Semiexpresso</t>
  </si>
  <si>
    <t>4002</t>
  </si>
  <si>
    <t>PEDREGAL-NOVO GAMA / LAGO SUL (VIA AEROPORTO)</t>
  </si>
  <si>
    <t>PEDREGAL-NOV O GAMA / LAGO SUL (VIA AEROPORTO)- Semiexpresso</t>
  </si>
  <si>
    <t>PEDREGAL-NOVO GAMA / ROD PLANO PILOTO (VIA PARK SHOPPING) - Semiexpresso</t>
  </si>
  <si>
    <t>12183770</t>
  </si>
  <si>
    <t>PEDREGAL-NOVO GAMA / W3 SUL-NORTE</t>
  </si>
  <si>
    <t>4310E</t>
  </si>
  <si>
    <t>PEDREGAL / S I A (SOF NORTE)</t>
  </si>
  <si>
    <t>PEDREGAL-NOVO GAMA / SIA-SAAN (FEIRA DOS IMPORTADOS)</t>
  </si>
  <si>
    <t>7061470</t>
  </si>
  <si>
    <t>VIAÇÃO TRANSPORTE COLETIVO DO ENTORNO LTDA</t>
  </si>
  <si>
    <r>
      <rPr>
        <sz val="12"/>
        <rFont val="Arial Narrow"/>
        <family val="2"/>
      </rPr>
      <t xml:space="preserve">SESI ou </t>
    </r>
    <r>
      <rPr>
        <b/>
        <sz val="12"/>
        <rFont val="Arial Narrow"/>
        <family val="2"/>
      </rPr>
      <t>SESC</t>
    </r>
    <r>
      <rPr>
        <sz val="12"/>
        <rFont val="Arial Narrow"/>
        <family val="2"/>
      </rPr>
      <t xml:space="preserve"> ou SEST </t>
    </r>
  </si>
  <si>
    <r>
      <rPr>
        <sz val="12"/>
        <rFont val="Arial Narrow"/>
        <family val="2"/>
      </rPr>
      <t xml:space="preserve">SENAI ou </t>
    </r>
    <r>
      <rPr>
        <b/>
        <sz val="12"/>
        <rFont val="Arial Narrow"/>
        <family val="2"/>
      </rPr>
      <t>SENAC</t>
    </r>
    <r>
      <rPr>
        <sz val="12"/>
        <rFont val="Arial Narrow"/>
        <family val="2"/>
      </rPr>
      <t xml:space="preserve"> ou SENAT</t>
    </r>
  </si>
  <si>
    <r>
      <rPr>
        <sz val="12"/>
        <rFont val="Arial Narrow"/>
        <family val="2"/>
      </rPr>
      <t>Riscos Ambientais do Trabalho - GILRAT  (Lei nº 8.212/91, Lei 10.666/03)- (</t>
    </r>
    <r>
      <rPr>
        <b/>
        <sz val="12"/>
        <rFont val="Arial Narrow"/>
        <family val="2"/>
      </rPr>
      <t>RAT x FAP</t>
    </r>
    <r>
      <rPr>
        <sz val="12"/>
        <rFont val="Arial Narrow"/>
        <family val="2"/>
      </rPr>
      <t>)</t>
    </r>
  </si>
  <si>
    <r>
      <rPr>
        <sz val="12"/>
        <rFont val="Arial Narrow"/>
        <family val="2"/>
      </rPr>
      <t>GIL</t>
    </r>
    <r>
      <rPr>
        <b/>
        <sz val="12"/>
        <rFont val="Arial Narrow"/>
        <family val="2"/>
      </rPr>
      <t xml:space="preserve">RAT </t>
    </r>
  </si>
  <si>
    <r>
      <rPr>
        <sz val="12"/>
        <rFont val="Arial Narrow"/>
        <family val="2"/>
      </rPr>
      <t xml:space="preserve">Incid. do submódulo 2.2 </t>
    </r>
    <r>
      <rPr>
        <b/>
        <sz val="12"/>
        <rFont val="Arial Narrow"/>
        <family val="2"/>
      </rPr>
      <t>sem FGTS</t>
    </r>
    <r>
      <rPr>
        <sz val="12"/>
        <rFont val="Arial Narrow"/>
        <family val="2"/>
      </rPr>
      <t xml:space="preserve"> sobre o reflexo do aviso prévio indenizado no 13º</t>
    </r>
  </si>
  <si>
    <t>Tipo de posto:</t>
  </si>
  <si>
    <t>Base de Cálculo Adicional de Insalubridade</t>
  </si>
  <si>
    <t xml:space="preserve">Incidência do  Submódulo 2.2 (SC´s - RFB COSIT nºs 108, de 07/06/2023 e 99009, de 14/08/2023) </t>
  </si>
  <si>
    <t>Assistência Odontológica</t>
  </si>
  <si>
    <t>Seguro de Vida e Assitência Funeral</t>
  </si>
  <si>
    <r>
      <t xml:space="preserve">SESI (Lei nº 8.036/90, art. 30 e Decreto Lei nº 9.403/46) ou </t>
    </r>
    <r>
      <rPr>
        <b/>
        <sz val="20"/>
        <color theme="1"/>
        <rFont val="Arial Narrow"/>
        <family val="2"/>
      </rPr>
      <t>SESC</t>
    </r>
    <r>
      <rPr>
        <sz val="20"/>
        <color theme="1"/>
        <rFont val="Arial Narrow"/>
        <family val="2"/>
      </rPr>
      <t xml:space="preserve"> (Lei nº 8.036/90, art.30 e Decreto Lei nº 9.853/46) ou SEST (art. 7º da Lei nº 8.706/93)</t>
    </r>
  </si>
  <si>
    <t>Projeção do 13º e Férias sobre aviso prévio indenizado</t>
  </si>
  <si>
    <t>Obs.:</t>
  </si>
  <si>
    <t>1.</t>
  </si>
  <si>
    <t>2.</t>
  </si>
  <si>
    <t>3.</t>
  </si>
  <si>
    <t>4.</t>
  </si>
  <si>
    <t>DETALHAMENTO DO CUSTO DIRETO DO POSTO (CD) - Enfermeiro</t>
  </si>
  <si>
    <t>Convenção Coletiva de Trabalho SBH-DF x SINDENFERMEIRO-DF 2024/2026, firmada pelo Sindicato Brasiliense de Hospitais, Casas de Saúde e Clínicas e o Sindicato dos Enfermeiros do Distrito Federal, registrada em 15/01/2025  no Ministério do Trabalho e Emprego - MTE, sob o nº DF000011/2025.</t>
  </si>
  <si>
    <t>Súmula Vinculante nº 4 STF - base de cálculo: salário mínimo (MP nº 1.172/2023). Segundo Laudo Técnico de Condições Ambientais de Trabalho para fins de insalubridade (LTCAT), constante dos autos do Processo nº 00600-00004385/2025-72: O posto de enfermeiro faz jus à insalubridade de grau médio (20%).</t>
  </si>
  <si>
    <t>Plano de Saúde</t>
  </si>
  <si>
    <t>5.</t>
  </si>
  <si>
    <t xml:space="preserve">Tendo em vista a faculdade de participação ou não dos funcionários nos lucros da empresa, conforme o disposto na Cláusula 8ª da CCT SBH-DF X SINDENFERMEIRO - DF, eventual custo com esse item deverá estar prevista na rubrica Lucro constante do BDI (Planiha Resumo dos Preços dos Serviços).  </t>
  </si>
  <si>
    <t xml:space="preserve">Tendo em vista a faculdade de pagamento ou não de gratificação por tempo de serviço, conforme o disposto na Cláusula 5ª da CCT SBH-DF X SINDENFERMEIRO - DF, 2024/2026, eventual custo com esse item deverá estar prevista na rubrica despesa administrativa constante do BDI (Planiha Resumo dos Preços dos Serviços).  </t>
  </si>
  <si>
    <t>6.</t>
  </si>
  <si>
    <t>Por força da Lei Distrital nº 4.799/2012, a CONTRATADA deverá custear plano de saúde aos prestadores de serviços vinculados à presente contratação. Tendo em vista que a Convenção Coletiva de Trabalho SBH x SINDENFERMEIRO 2024/2026 não dispõe sobre essa rubrica, adotou-se como paradigma de valor, o montante mensal de R$200,00, previsto na cláusula décima nona da  CCT SINDSERVIÇOS/DF x SEAC/DF - 2025.</t>
  </si>
  <si>
    <t xml:space="preserve">A despesa relativa ao fornecimento de  uniformes, conforme o Anexo I do edital, é um custo exclusivo da futura Contratada não podendo essa repassá-lo aos prestadores de serviço. </t>
  </si>
  <si>
    <t>7.</t>
  </si>
  <si>
    <t>8.</t>
  </si>
  <si>
    <t>Adotado o Piso salarial dos enfermeiros previsto no art. 15 - A da Lei nº 7498/1986 (R$ 4.750,00 - 44h), em consonância com a Decisão do STF na ADI 7222 e tendo em vista que é o salário atualmente pago aos prestadores de serviço no âmbito do Contrato TCDF nº 35/2023 - Processo nº 00600-00005057/2023-21.</t>
  </si>
  <si>
    <t>9.</t>
  </si>
  <si>
    <t>Encarregado de Limpeza</t>
  </si>
  <si>
    <t xml:space="preserve">Na formulação de sua proposta, a licitante deverá ainda informar e observar o regime de tributação ao qual está submetida, inclusive no tocante à incidência das alíquotas de ISS, PIS e COFINS sobre seu faturamento, de acordo com as Leis nºs: 10.637/2002 e 10.833/2003; bem como, quando aplicável, a opção ou não pelo recolhimento da Contribuição Previdenciária sobre a Renda Bruta (CPRB), nos termos da Lei nº 12.546/2011; e demais legislação tributária aplicável ao caso concreto. </t>
  </si>
  <si>
    <t>Com fundamento no art. 16 da Lei nº 9.779/1999, art. 2º do Decreto nº 6.022/2007 e art. 4º IN RFB nº 1252/2012, as empresas optantes pelo Lucro Presumido ou Lucro Real deverão apresentar os recibos de Escrituração Fiscal Digital da Contribuição para o PIS/PASEP e para o Financiamento da Seguridade Social (COFINS) – EFD – Contribuições, relativos aos 12 (doze) meses correspondentes ao Balanço Patrimonial e demonstrações contábeis, de que trata o Capítulo XI do Edital, sendo que a receita bruta calculada a partir dos recibos, observado o disposto no art. 3º da Lei nº 9.718/1998 e no art. 12 do Decreto Lei nº 1.598/1977 , deverá guardar compatibilidade com as demonstrações apresentadas.</t>
  </si>
  <si>
    <t>No que tange à alíquota referente ao ISS favor observar o Decreto Distrital nº 25.508/2005.</t>
  </si>
  <si>
    <r>
      <t xml:space="preserve">No preenchimento da proposta pela licitante, favor </t>
    </r>
    <r>
      <rPr>
        <b/>
        <u/>
        <sz val="15"/>
        <rFont val="Arial Narrow"/>
        <family val="2"/>
      </rPr>
      <t>observar todo o conteúdo do presente edital e respectivos Anexos</t>
    </r>
    <r>
      <rPr>
        <sz val="15"/>
        <rFont val="Arial Narrow"/>
        <family val="2"/>
      </rPr>
      <t>.</t>
    </r>
  </si>
  <si>
    <t>Leis nºs: 7.689/1988, 9.249/1995 e 9.430/1996, Decreto nº 3.000/1999 e IN SRRF nº 1700/2017 .</t>
  </si>
  <si>
    <t>Retenções e outras deduções
D</t>
  </si>
  <si>
    <t>Nos termos do Art. 6º da Lei Distrital nº 7.708/2025, verbis: "Na contratação de serviços contínuos com dedicação exclusiva de mão de obra, somente são aceitas, nos termos do edital, propostas que adotem, na planilha de custos e formação de preços, valor igual ou superior ao orçado pela administração, que corresponda à soma do salário e do auxílio-alimentação".</t>
  </si>
  <si>
    <t xml:space="preserve">SubTotal Módulos 1, 2, 3, 4 e 5:      </t>
  </si>
  <si>
    <t>Serão desclassificadas as propostas que apresentarem preços unitários superiores a 10% (dez por cento) em relação aos respectivos preços unitários estimados referentes aos uniformes para os postos de serviço, observadas as hipóteses  de retificação  de que trata o Edital de licitação.</t>
  </si>
  <si>
    <t>Drª Charm</t>
  </si>
  <si>
    <t>SalusBrand</t>
  </si>
  <si>
    <t>Mercado Livre</t>
  </si>
  <si>
    <t>Ateliê do Scrub</t>
  </si>
  <si>
    <t>Enfermeiro(a) Sob Demanda</t>
  </si>
  <si>
    <t>Enfermeiro Sob Demanda</t>
  </si>
  <si>
    <t>DETALHAMENTO DO CUSTO DIRETO DO POSTO (CD) - Enfermeiro Sob Demanda</t>
  </si>
  <si>
    <t>1</t>
  </si>
  <si>
    <t>2</t>
  </si>
  <si>
    <t>Enfermeiro Sob Demada</t>
  </si>
  <si>
    <t>CT TST - PE 001/2025</t>
  </si>
  <si>
    <t>CT TRF1 15/2022</t>
  </si>
  <si>
    <t>Valor proporcionalizado para 44h semanais.</t>
  </si>
  <si>
    <t>CT PMDF - 3/2025 ³</t>
  </si>
  <si>
    <t>CT TCU nº 08/2023 ³</t>
  </si>
  <si>
    <t>O CONTRATANTE poderá exigir ou não a execução dos serviços referentes ao posto de enfermeiro sob demanda, caso seja efetivamente solicitado, esse posto passará a ter caráter fixo / permanente até o término da vigência contratual prevista.</t>
  </si>
  <si>
    <t>Enfermeiro Sob Demanda ¹</t>
  </si>
  <si>
    <t>Os serviços referentes a presente contratação são feitos mediante a cessão efetiva de mão de obra dos postos dos serviços de  enferemeiro. Frise-se que, nos termos do art. 17, inciso XII da Lei Complementar nº 123/2006, essas atividades não permitem o recolhimento de impostos na forma do Simples Nacional. Dessa forma, caso a licitante seja optante pelo regime do Simples Nacional, essa deverá elaborar suas planilhas considerando outro regime de tributação, e, em caso de efetiva contratação, desenquadra-se, conforme previsto no item 9 do Anexo I deste Edital.</t>
  </si>
  <si>
    <r>
      <t>A equipe de serviço, prevista no Anexo II do presente edital, já se encontra adequadamente dimensionada para as necessidades de realização dos serviços contínuos de enfermagem, uma vez que, para a definição do dimensionamento do tamanho da equipe especializada, foram consideradas: as especificações; as características técnicas reais dos serviços a serem executados; as experiências; e os parâmetros aferidos e resultantes das contratações anteriores desta Corte de Contas.</t>
    </r>
    <r>
      <rPr>
        <b/>
        <u/>
        <sz val="15"/>
        <rFont val="Arial Narrow"/>
        <family val="2"/>
      </rPr>
      <t xml:space="preserve"> Além disso, para fins de mantença dos princípios da isonomia e do julgamento objetivo do certame, é expressamente proibida a alteração do quantitativo de postos previstos neste Termo de Referência e demais anexos.</t>
    </r>
  </si>
  <si>
    <t xml:space="preserve">Quantidade de Posto(s) </t>
  </si>
  <si>
    <t>Vide Item 3.5 do Anexo I do edital para as demais especificações acerca do fornecimento dos uniformes para a prestação dos serviços</t>
  </si>
  <si>
    <t>DEIXAR DE: prestar assistência de enfermagem de rotina, primeiros socorros e solicitar atendimento médico, em casos de urgência e, se necessário, adotar providências com vistas à remoção para instituição hospitalar (Item 3.4.1.1 do Anexo I)</t>
  </si>
  <si>
    <t>DEIXAR DE: Realizar visita hospitalar e domiciliar para certificar a assistência prestada, colaborando no processo de recuperação do paciente (Item 3.4.1.2 do Anexo I)</t>
  </si>
  <si>
    <t>DEIXAR DE: Colaborar na análise de processos de auditoria das contas médicas e hospitalares (Item 3.4.1.3 do Anexo I)</t>
  </si>
  <si>
    <t>DEIXAR DE: Registrar e controlar, diariamente, os atendimentos de enfermagem realizados no setor, para fins gerenciais e estatísticos (Item 3.4.1.4 do Anexo I)</t>
  </si>
  <si>
    <t>DEIXAR DE: Organizar prontuários médicos dos membros, e servidores, ativos e inativos, e dependentes, zelando por sua conservação e mantendo sigilo sobre os registros existentes (Item 3.4.1.5 do Anexo I)</t>
  </si>
  <si>
    <t>DEIXAR DE: Proceder ao recebimento e à guarda dos medicamentos e material médico (Item 3.4.1.6 do Anexo I)</t>
  </si>
  <si>
    <t>DEIXAR DE: Proceder ao controle de estoque, prazo de validade e distribuição de medicamentos e material do setor, bem como prever e solicitar compra anual com vistas a manter estoque mínimo (Item 3.4.1.7 do Anexo I)</t>
  </si>
  <si>
    <t>DEIXAR DE: Realizar os procedimentos de esterilização e assepsia do instrumental médico e odontológico, verificando prazos de validade e controle periódico de eficácia da técnica empregada (Item 3.4.1.8 do Anexo I)</t>
  </si>
  <si>
    <t>DEIXAR DE: Promover a conservação dos medicamentos e instrumental existentes nos consultórios, bem como a organização e assepsia das instalações médicas (Item 3.4.1.10 do Anexo I)</t>
  </si>
  <si>
    <t>DEIXAR DE: Participar do planejamento e implantação do sistema de vigilância epidemiológica, mantendo atualizado o cadastro de doenças infectocontagiosas e outras, ocupacionais ou não, bem como notificar aos órgãos competentes, quando necessário (Item 3.4.1.11 do Anexo I)</t>
  </si>
  <si>
    <t>DEIXAR DE: Colaborar na implementação e manutenção de sistema de cobertura vacinal a servidores expostos a riscos e realizar estatística para verificação da eficácia da vacinação (Item 3.4.1.12 do Anexo I)</t>
  </si>
  <si>
    <t>DEIXAR DE: Colaborar no planejamento e execução das campanhas preventivas e das atividades destinadas à orientação e educação da saúde (Item 3.4.1.13 do Anexo I)</t>
  </si>
  <si>
    <t>DEIXAR DE: Participar da consolidação dos dados de atendimento diários e mensais da equipe multiprofissional de saúde (Item 3.4.1.14 do Anexo I);</t>
  </si>
  <si>
    <t>DEIXAR DE: Exercer as demais atividades típicas de enfermeiro, previstas no art. 11 da Lei nº 7.498/86 e no art. 8º do Decreto nº 94.406/87 (Item 3.4.1.15 do Anexo I)</t>
  </si>
  <si>
    <t xml:space="preserve">¹ Conforme Cláusula 9º da CCT SBH-DF x SINDENFERMEIRO-DF 2024/2026, o auxílio-refeição é devido apenas para os enfermeiros(as) que cumpram carga horária de 8 (oito) horas diárias ou mais. </t>
  </si>
  <si>
    <t>Auxílio - Alimentação</t>
  </si>
  <si>
    <t>O valor mensal previsto para o posto de Enfermeiro sob Demanda só integrará o saldo mensal a ser enviado para a conta vinculada da empresa, caso haja demanda efetiva desse posto pelo CONTRATANTE.</t>
  </si>
  <si>
    <t>Súmula Vinculante nº 4 STF - base de cálculo: salário mínimo (Decreto nº 12.342/2024). Segundo Laudo Técnico de Condições Ambientais de Trabalho para fins de insalubridade (LTCAT), constante dos autos do Processo nº 00600-00004385/2025-72: O posto de enfermeiro faz jus à insalubridade de grau médio (20%).</t>
  </si>
  <si>
    <t>ITEM 1 - SERVIÇOS CONTÍNUOS DE ENFERMAGEM</t>
  </si>
  <si>
    <t>(  *  )</t>
  </si>
  <si>
    <t>ITEM 1 - SERVIÇOS CONTÍNUOS DE OPERAÇÃO DE SISTEMAS DE ENFERMAGEM</t>
  </si>
  <si>
    <t>TOTAL GERAL ESTIMADO PARA 24 (VINTE E QUATRO) MESES</t>
  </si>
  <si>
    <t xml:space="preserve">Na cor a ser definida pelo CONTRATANTE, em tecido gabardine, gola tipo V, com emblema do TCDF e da CONTRATADA costurados nas mangas, nome e função costurados na frente, 2 (dois) bolsos na camisa e 2 (dois) na calça, a qual deverá ter cós alto com elástico, e elástico no tornozelo.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</si>
</sst>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R$&quot;\ * #,##0.00_-;\-&quot;R$&quot;\ * #,##0.00_-;_-&quot;R$&quot;\ * &quot;-&quot;??_-;_-@_-"/>
    <numFmt numFmtId="164" formatCode="&quot;R$&quot;#,##0.00;[Red]\-&quot;R$&quot;#,##0.00"/>
    <numFmt numFmtId="165" formatCode="_-&quot;R$&quot;* #,##0.00_-;\-&quot;R$&quot;* #,##0.00_-;_-&quot;R$&quot;* &quot;-&quot;??_-;_-@_-"/>
    <numFmt numFmtId="166" formatCode="dd/mm/yy;@"/>
    <numFmt numFmtId="167" formatCode="0.000%"/>
    <numFmt numFmtId="168" formatCode="0.0000"/>
    <numFmt numFmtId="169" formatCode="_(* #,##0.00_);_(* \(#,##0.00\);_(* &quot;-&quot;??_);_(@_)"/>
    <numFmt numFmtId="170" formatCode="_(&quot;R$ &quot;* #,##0.00_);_(&quot;R$ &quot;* \(#,##0.00\);_(&quot;R$ &quot;* &quot;-&quot;??_);_(@_)"/>
    <numFmt numFmtId="171" formatCode="0.0000%"/>
    <numFmt numFmtId="172" formatCode="0.000000%"/>
    <numFmt numFmtId="173" formatCode="[$-416]mmmm\-yy;@"/>
    <numFmt numFmtId="174" formatCode="&quot;R$&quot;\ #,##0.00"/>
  </numFmts>
  <fonts count="10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Arial Narrow"/>
      <family val="2"/>
    </font>
    <font>
      <sz val="14"/>
      <color theme="1"/>
      <name val="Arial Narrow"/>
      <family val="2"/>
    </font>
    <font>
      <b/>
      <sz val="12"/>
      <color theme="1"/>
      <name val="Arial Narrow"/>
      <family val="2"/>
    </font>
    <font>
      <b/>
      <i/>
      <u/>
      <sz val="14"/>
      <color theme="1"/>
      <name val="Arial Narrow"/>
      <family val="2"/>
    </font>
    <font>
      <sz val="14"/>
      <color rgb="FF7030A0"/>
      <name val="Arial Narrow"/>
      <family val="2"/>
    </font>
    <font>
      <sz val="14"/>
      <name val="Arial Narrow"/>
      <family val="2"/>
    </font>
    <font>
      <b/>
      <sz val="14"/>
      <color rgb="FFFF0000"/>
      <name val="Arial Narrow"/>
      <family val="2"/>
    </font>
    <font>
      <b/>
      <sz val="14"/>
      <name val="Arial Narrow"/>
      <family val="2"/>
    </font>
    <font>
      <sz val="14"/>
      <color theme="0"/>
      <name val="Arial Narrow"/>
      <family val="2"/>
    </font>
    <font>
      <sz val="12"/>
      <color theme="1"/>
      <name val="Arial Narrow"/>
      <family val="2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sz val="10"/>
      <name val="Arial"/>
      <family val="2"/>
      <charset val="1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Calibri"/>
      <family val="2"/>
      <scheme val="minor"/>
    </font>
    <font>
      <sz val="20"/>
      <color theme="1"/>
      <name val="Arial Narrow"/>
      <family val="2"/>
    </font>
    <font>
      <b/>
      <sz val="20"/>
      <color theme="1"/>
      <name val="Arial Narrow"/>
      <family val="2"/>
    </font>
    <font>
      <sz val="20"/>
      <name val="Arial Narrow"/>
      <family val="2"/>
    </font>
    <font>
      <b/>
      <sz val="18"/>
      <color theme="1"/>
      <name val="Arial"/>
      <family val="2"/>
    </font>
    <font>
      <sz val="20"/>
      <color rgb="FFFF0000"/>
      <name val="Arial Narrow"/>
      <family val="2"/>
    </font>
    <font>
      <i/>
      <u/>
      <sz val="20"/>
      <color theme="1"/>
      <name val="Arial Narrow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 Unicode MS"/>
      <family val="2"/>
    </font>
    <font>
      <sz val="10"/>
      <color theme="1"/>
      <name val="Arial Unicode MS"/>
      <family val="2"/>
    </font>
    <font>
      <b/>
      <u/>
      <sz val="20"/>
      <color theme="1"/>
      <name val="Arial Narrow"/>
      <family val="2"/>
    </font>
    <font>
      <sz val="20"/>
      <color theme="1"/>
      <name val="Calibri"/>
      <family val="2"/>
      <scheme val="minor"/>
    </font>
    <font>
      <b/>
      <sz val="19"/>
      <color theme="1"/>
      <name val="Arial Narrow"/>
      <family val="2"/>
    </font>
    <font>
      <i/>
      <sz val="20"/>
      <color theme="1"/>
      <name val="Arial Narrow"/>
      <family val="2"/>
    </font>
    <font>
      <b/>
      <sz val="20"/>
      <name val="Arial Narrow"/>
      <family val="2"/>
    </font>
    <font>
      <i/>
      <sz val="20"/>
      <name val="Arial Narrow"/>
      <family val="2"/>
    </font>
    <font>
      <b/>
      <sz val="14"/>
      <color theme="1"/>
      <name val="Arial Unicode MS"/>
      <family val="2"/>
    </font>
    <font>
      <sz val="14"/>
      <color theme="1"/>
      <name val="Arial"/>
      <family val="2"/>
    </font>
    <font>
      <b/>
      <i/>
      <sz val="20"/>
      <color theme="1"/>
      <name val="Arial Narrow"/>
      <family val="2"/>
    </font>
    <font>
      <i/>
      <sz val="11"/>
      <color theme="1"/>
      <name val="Calibri"/>
      <family val="2"/>
      <scheme val="minor"/>
    </font>
    <font>
      <sz val="8"/>
      <name val="Arial"/>
      <family val="2"/>
    </font>
    <font>
      <sz val="12"/>
      <name val="Times New Roman"/>
      <family val="1"/>
    </font>
    <font>
      <sz val="14"/>
      <color rgb="FFFF0000"/>
      <name val="Arial"/>
      <family val="2"/>
    </font>
    <font>
      <i/>
      <sz val="12"/>
      <name val="Arial Narrow"/>
      <family val="2"/>
    </font>
    <font>
      <sz val="12"/>
      <color rgb="FFFF0000"/>
      <name val="Arial Narrow"/>
      <family val="2"/>
    </font>
    <font>
      <sz val="12"/>
      <color rgb="FF7030A0"/>
      <name val="Arial Narrow"/>
      <family val="2"/>
    </font>
    <font>
      <sz val="12"/>
      <name val="Calibri"/>
      <family val="2"/>
    </font>
    <font>
      <b/>
      <sz val="12"/>
      <color theme="7"/>
      <name val="Arial Narrow"/>
      <family val="2"/>
    </font>
    <font>
      <b/>
      <i/>
      <sz val="12"/>
      <name val="Arial Narrow"/>
      <family val="2"/>
    </font>
    <font>
      <sz val="20"/>
      <color rgb="FF7030A0"/>
      <name val="Arial Narrow"/>
      <family val="2"/>
    </font>
    <font>
      <sz val="12"/>
      <color theme="0"/>
      <name val="Arial Narrow"/>
      <family val="2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name val="Calibri"/>
      <family val="2"/>
      <scheme val="minor"/>
    </font>
    <font>
      <sz val="12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sz val="14"/>
      <name val="Arial"/>
      <family val="2"/>
    </font>
    <font>
      <sz val="14"/>
      <color rgb="FFFF0000"/>
      <name val="Arial Narrow"/>
      <family val="2"/>
    </font>
    <font>
      <b/>
      <sz val="14"/>
      <name val="Arial"/>
      <family val="2"/>
    </font>
    <font>
      <b/>
      <sz val="16"/>
      <name val="Arial"/>
      <family val="2"/>
    </font>
    <font>
      <b/>
      <i/>
      <sz val="11"/>
      <name val="Arial"/>
      <family val="2"/>
    </font>
    <font>
      <b/>
      <sz val="12"/>
      <name val="Arial"/>
      <family val="2"/>
    </font>
    <font>
      <b/>
      <sz val="22"/>
      <name val="Arial Narrow"/>
      <family val="2"/>
    </font>
    <font>
      <sz val="13"/>
      <name val="Arial Narrow"/>
      <family val="2"/>
    </font>
    <font>
      <b/>
      <sz val="16"/>
      <name val="Arial Narrow"/>
      <family val="2"/>
    </font>
    <font>
      <b/>
      <sz val="10"/>
      <name val="Arial Narrow"/>
      <family val="2"/>
    </font>
    <font>
      <i/>
      <sz val="16"/>
      <name val="Arial Narrow"/>
      <family val="2"/>
    </font>
    <font>
      <sz val="16"/>
      <name val="Arial Narrow"/>
      <family val="2"/>
    </font>
    <font>
      <b/>
      <sz val="18"/>
      <color theme="1"/>
      <name val="Arial Narrow"/>
      <family val="2"/>
    </font>
    <font>
      <sz val="18"/>
      <color theme="1"/>
      <name val="Arial Narrow"/>
      <family val="2"/>
    </font>
    <font>
      <b/>
      <sz val="18"/>
      <color rgb="FF7030A0"/>
      <name val="Arial Narrow"/>
      <family val="2"/>
    </font>
    <font>
      <b/>
      <i/>
      <sz val="14"/>
      <color theme="1"/>
      <name val="Arial Narrow"/>
      <family val="2"/>
    </font>
    <font>
      <b/>
      <i/>
      <sz val="14"/>
      <name val="Arial Narrow"/>
      <family val="2"/>
    </font>
    <font>
      <sz val="10"/>
      <name val="Arial"/>
      <family val="2"/>
    </font>
    <font>
      <b/>
      <sz val="13"/>
      <color theme="1"/>
      <name val="Arial Narrow"/>
      <family val="2"/>
    </font>
    <font>
      <b/>
      <u/>
      <sz val="13"/>
      <color theme="1"/>
      <name val="Arial Narrow"/>
      <family val="2"/>
    </font>
    <font>
      <sz val="13"/>
      <color theme="1"/>
      <name val="Arial Narrow"/>
      <family val="2"/>
    </font>
    <font>
      <i/>
      <sz val="13"/>
      <color theme="1"/>
      <name val="Arial Narrow"/>
      <family val="2"/>
    </font>
    <font>
      <b/>
      <i/>
      <sz val="13"/>
      <color theme="1"/>
      <name val="Arial Narrow"/>
      <family val="2"/>
    </font>
    <font>
      <b/>
      <sz val="14"/>
      <color rgb="FF000000"/>
      <name val="Arial Narrow"/>
      <family val="2"/>
    </font>
    <font>
      <sz val="13"/>
      <color rgb="FF000000"/>
      <name val="Arial Narrow"/>
      <family val="2"/>
    </font>
    <font>
      <sz val="10"/>
      <name val="Arial"/>
      <family val="2"/>
    </font>
    <font>
      <i/>
      <sz val="18"/>
      <color theme="1"/>
      <name val="Arial Narrow"/>
      <family val="2"/>
    </font>
    <font>
      <b/>
      <sz val="18"/>
      <name val="Arial"/>
      <family val="2"/>
    </font>
    <font>
      <sz val="18"/>
      <name val="Arial"/>
      <family val="2"/>
    </font>
    <font>
      <b/>
      <sz val="15"/>
      <color theme="1"/>
      <name val="Arial"/>
      <family val="2"/>
    </font>
    <font>
      <sz val="15"/>
      <color theme="1"/>
      <name val="Arial"/>
      <family val="2"/>
    </font>
    <font>
      <sz val="15"/>
      <name val="Arial"/>
      <family val="2"/>
    </font>
    <font>
      <b/>
      <sz val="15"/>
      <name val="Arial Narrow"/>
      <family val="2"/>
    </font>
    <font>
      <sz val="15"/>
      <name val="Arial Narrow"/>
      <family val="2"/>
    </font>
    <font>
      <b/>
      <u/>
      <sz val="15"/>
      <name val="Arial Narrow"/>
      <family val="2"/>
    </font>
    <font>
      <b/>
      <sz val="13"/>
      <color rgb="FF000000"/>
      <name val="Arial Narrow"/>
      <family val="2"/>
    </font>
    <font>
      <b/>
      <u/>
      <sz val="13"/>
      <color rgb="FF000000"/>
      <name val="Arial Narrow"/>
      <family val="2"/>
    </font>
    <font>
      <sz val="16"/>
      <color theme="1"/>
      <name val="Arial Narrow"/>
      <family val="2"/>
    </font>
    <font>
      <b/>
      <sz val="16"/>
      <color theme="1"/>
      <name val="Arial Narrow"/>
      <family val="2"/>
    </font>
    <font>
      <b/>
      <sz val="26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0" tint="-0.14993743705557422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mediumDashed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Dashed">
        <color indexed="64"/>
      </left>
      <right style="thin">
        <color indexed="64"/>
      </right>
      <top style="medium">
        <color indexed="64"/>
      </top>
      <bottom style="mediumDash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Dashed">
        <color indexed="64"/>
      </bottom>
      <diagonal/>
    </border>
    <border>
      <left style="medium">
        <color indexed="64"/>
      </left>
      <right style="mediumDashed">
        <color indexed="64"/>
      </right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41">
    <xf numFmtId="0" fontId="0" fillId="0" borderId="0"/>
    <xf numFmtId="0" fontId="1" fillId="0" borderId="0"/>
    <xf numFmtId="0" fontId="13" fillId="0" borderId="0"/>
    <xf numFmtId="44" fontId="1" fillId="0" borderId="0" applyFont="0" applyFill="0" applyBorder="0" applyAlignment="0" applyProtection="0"/>
    <xf numFmtId="0" fontId="16" fillId="0" borderId="0"/>
    <xf numFmtId="0" fontId="13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44" fontId="13" fillId="0" borderId="0" applyFont="0" applyFill="0" applyBorder="0" applyAlignment="0" applyProtection="0"/>
    <xf numFmtId="0" fontId="44" fillId="0" borderId="0">
      <alignment vertical="center"/>
    </xf>
    <xf numFmtId="0" fontId="44" fillId="0" borderId="0">
      <alignment vertical="center"/>
    </xf>
    <xf numFmtId="9" fontId="45" fillId="0" borderId="0" applyFont="0" applyFill="0" applyBorder="0" applyAlignment="0" applyProtection="0"/>
    <xf numFmtId="0" fontId="1" fillId="0" borderId="0"/>
    <xf numFmtId="169" fontId="45" fillId="0" borderId="0" applyFont="0" applyFill="0" applyBorder="0" applyAlignment="0" applyProtection="0"/>
    <xf numFmtId="170" fontId="45" fillId="0" borderId="0" applyFont="0" applyFill="0" applyBorder="0" applyAlignment="0" applyProtection="0"/>
    <xf numFmtId="9" fontId="45" fillId="0" borderId="0" applyFont="0" applyFill="0" applyBorder="0" applyAlignment="0" applyProtection="0"/>
    <xf numFmtId="0" fontId="1" fillId="0" borderId="0"/>
    <xf numFmtId="0" fontId="1" fillId="0" borderId="0"/>
    <xf numFmtId="170" fontId="45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2" fillId="0" borderId="0"/>
    <xf numFmtId="0" fontId="1" fillId="0" borderId="0"/>
    <xf numFmtId="0" fontId="1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9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52">
    <xf numFmtId="0" fontId="0" fillId="0" borderId="0" xfId="0"/>
    <xf numFmtId="0" fontId="13" fillId="0" borderId="0" xfId="5"/>
    <xf numFmtId="0" fontId="14" fillId="0" borderId="0" xfId="5" applyFont="1" applyAlignment="1">
      <alignment horizontal="center" vertical="center"/>
    </xf>
    <xf numFmtId="0" fontId="19" fillId="0" borderId="0" xfId="6" applyFont="1" applyAlignment="1">
      <alignment horizontal="center" vertical="center"/>
    </xf>
    <xf numFmtId="0" fontId="18" fillId="0" borderId="0" xfId="6" applyFont="1" applyAlignment="1">
      <alignment horizontal="center" vertical="center"/>
    </xf>
    <xf numFmtId="0" fontId="28" fillId="0" borderId="0" xfId="6" applyFont="1" applyAlignment="1">
      <alignment horizontal="center" vertical="center"/>
    </xf>
    <xf numFmtId="0" fontId="28" fillId="0" borderId="13" xfId="6" applyFont="1" applyBorder="1" applyAlignment="1">
      <alignment horizontal="center" vertical="center"/>
    </xf>
    <xf numFmtId="0" fontId="27" fillId="0" borderId="2" xfId="6" applyFont="1" applyBorder="1" applyAlignment="1">
      <alignment horizontal="center" vertical="center"/>
    </xf>
    <xf numFmtId="0" fontId="28" fillId="0" borderId="2" xfId="6" applyFont="1" applyBorder="1" applyAlignment="1">
      <alignment horizontal="center" vertical="center"/>
    </xf>
    <xf numFmtId="20" fontId="28" fillId="0" borderId="2" xfId="6" applyNumberFormat="1" applyFont="1" applyBorder="1" applyAlignment="1">
      <alignment horizontal="center" vertical="center"/>
    </xf>
    <xf numFmtId="0" fontId="28" fillId="0" borderId="31" xfId="6" applyFont="1" applyBorder="1" applyAlignment="1">
      <alignment horizontal="center" vertical="center"/>
    </xf>
    <xf numFmtId="2" fontId="28" fillId="0" borderId="2" xfId="6" applyNumberFormat="1" applyFont="1" applyBorder="1" applyAlignment="1">
      <alignment horizontal="center" vertical="center"/>
    </xf>
    <xf numFmtId="0" fontId="27" fillId="0" borderId="0" xfId="6" applyFont="1" applyAlignment="1">
      <alignment horizontal="center" vertical="center"/>
    </xf>
    <xf numFmtId="0" fontId="28" fillId="0" borderId="0" xfId="0" applyFont="1"/>
    <xf numFmtId="0" fontId="29" fillId="0" borderId="0" xfId="5" applyFont="1" applyAlignment="1">
      <alignment horizontal="center" vertical="center"/>
    </xf>
    <xf numFmtId="0" fontId="29" fillId="0" borderId="0" xfId="5" applyFont="1" applyAlignment="1">
      <alignment vertical="center"/>
    </xf>
    <xf numFmtId="0" fontId="23" fillId="0" borderId="2" xfId="5" applyFont="1" applyBorder="1" applyAlignment="1">
      <alignment horizontal="left" vertical="center"/>
    </xf>
    <xf numFmtId="44" fontId="23" fillId="0" borderId="2" xfId="11" applyFont="1" applyBorder="1" applyAlignment="1">
      <alignment horizontal="center" vertical="center" wrapText="1"/>
    </xf>
    <xf numFmtId="0" fontId="14" fillId="0" borderId="0" xfId="12" applyFont="1">
      <alignment vertical="center"/>
    </xf>
    <xf numFmtId="0" fontId="44" fillId="0" borderId="0" xfId="12">
      <alignment vertical="center"/>
    </xf>
    <xf numFmtId="0" fontId="14" fillId="0" borderId="29" xfId="12" applyFont="1" applyBorder="1" applyAlignment="1">
      <alignment vertical="center" shrinkToFit="1"/>
    </xf>
    <xf numFmtId="0" fontId="14" fillId="0" borderId="1" xfId="13" applyFont="1" applyBorder="1">
      <alignment vertical="center"/>
    </xf>
    <xf numFmtId="0" fontId="14" fillId="0" borderId="1" xfId="13" applyFont="1" applyBorder="1" applyAlignment="1">
      <alignment vertical="center" shrinkToFit="1"/>
    </xf>
    <xf numFmtId="0" fontId="14" fillId="0" borderId="30" xfId="13" applyFont="1" applyBorder="1" applyAlignment="1">
      <alignment vertical="center" shrinkToFit="1"/>
    </xf>
    <xf numFmtId="0" fontId="14" fillId="0" borderId="3" xfId="12" applyFont="1" applyBorder="1" applyAlignment="1">
      <alignment horizontal="justify" vertical="center" wrapText="1"/>
    </xf>
    <xf numFmtId="0" fontId="14" fillId="0" borderId="0" xfId="12" applyFont="1" applyAlignment="1">
      <alignment horizontal="justify" vertical="center" wrapText="1"/>
    </xf>
    <xf numFmtId="0" fontId="14" fillId="0" borderId="35" xfId="12" applyFont="1" applyBorder="1" applyAlignment="1">
      <alignment horizontal="justify" vertical="center" wrapText="1"/>
    </xf>
    <xf numFmtId="0" fontId="14" fillId="0" borderId="1" xfId="13" applyFont="1" applyBorder="1" applyAlignment="1">
      <alignment horizontal="center" vertical="center"/>
    </xf>
    <xf numFmtId="0" fontId="14" fillId="0" borderId="1" xfId="12" applyFont="1" applyBorder="1">
      <alignment vertical="center"/>
    </xf>
    <xf numFmtId="0" fontId="14" fillId="0" borderId="30" xfId="12" applyFont="1" applyBorder="1">
      <alignment vertical="center"/>
    </xf>
    <xf numFmtId="0" fontId="14" fillId="0" borderId="24" xfId="13" applyFont="1" applyBorder="1" applyAlignment="1">
      <alignment horizontal="center" vertical="center"/>
    </xf>
    <xf numFmtId="0" fontId="14" fillId="0" borderId="11" xfId="12" applyFont="1" applyBorder="1">
      <alignment vertical="center"/>
    </xf>
    <xf numFmtId="0" fontId="14" fillId="0" borderId="24" xfId="13" applyFont="1" applyBorder="1">
      <alignment vertical="center"/>
    </xf>
    <xf numFmtId="10" fontId="14" fillId="0" borderId="24" xfId="13" applyNumberFormat="1" applyFont="1" applyBorder="1" applyAlignment="1">
      <alignment horizontal="center" vertical="center"/>
    </xf>
    <xf numFmtId="10" fontId="14" fillId="0" borderId="24" xfId="13" applyNumberFormat="1" applyFont="1" applyBorder="1" applyAlignment="1">
      <alignment horizontal="left" vertical="center"/>
    </xf>
    <xf numFmtId="0" fontId="14" fillId="0" borderId="13" xfId="13" applyFont="1" applyBorder="1" applyAlignment="1">
      <alignment horizontal="left" vertical="center"/>
    </xf>
    <xf numFmtId="0" fontId="15" fillId="0" borderId="11" xfId="12" applyFont="1" applyBorder="1">
      <alignment vertical="center"/>
    </xf>
    <xf numFmtId="0" fontId="15" fillId="0" borderId="24" xfId="13" applyFont="1" applyBorder="1">
      <alignment vertical="center"/>
    </xf>
    <xf numFmtId="10" fontId="15" fillId="0" borderId="24" xfId="12" applyNumberFormat="1" applyFont="1" applyBorder="1" applyAlignment="1">
      <alignment horizontal="left" vertical="center" shrinkToFit="1"/>
    </xf>
    <xf numFmtId="0" fontId="15" fillId="0" borderId="24" xfId="13" applyFont="1" applyBorder="1" applyAlignment="1">
      <alignment horizontal="center" vertical="center" shrinkToFit="1"/>
    </xf>
    <xf numFmtId="0" fontId="15" fillId="0" borderId="13" xfId="13" applyFont="1" applyBorder="1" applyAlignment="1">
      <alignment horizontal="center" vertical="center" shrinkToFit="1"/>
    </xf>
    <xf numFmtId="0" fontId="48" fillId="0" borderId="0" xfId="12" applyFont="1">
      <alignment vertical="center"/>
    </xf>
    <xf numFmtId="10" fontId="14" fillId="0" borderId="24" xfId="18" applyNumberFormat="1" applyFont="1" applyBorder="1" applyAlignment="1">
      <alignment vertical="center"/>
    </xf>
    <xf numFmtId="0" fontId="15" fillId="0" borderId="17" xfId="13" applyFont="1" applyBorder="1">
      <alignment vertical="center"/>
    </xf>
    <xf numFmtId="0" fontId="14" fillId="0" borderId="1" xfId="13" applyFont="1" applyBorder="1" applyAlignment="1">
      <alignment horizontal="justify" vertical="center" wrapText="1"/>
    </xf>
    <xf numFmtId="0" fontId="14" fillId="0" borderId="30" xfId="13" applyFont="1" applyBorder="1" applyAlignment="1">
      <alignment horizontal="justify" vertical="center" wrapText="1"/>
    </xf>
    <xf numFmtId="0" fontId="14" fillId="0" borderId="0" xfId="13" applyFont="1" applyAlignment="1">
      <alignment horizontal="justify" vertical="center" wrapText="1"/>
    </xf>
    <xf numFmtId="0" fontId="14" fillId="0" borderId="35" xfId="13" applyFont="1" applyBorder="1" applyAlignment="1">
      <alignment horizontal="justify" vertical="center" wrapText="1"/>
    </xf>
    <xf numFmtId="10" fontId="15" fillId="0" borderId="24" xfId="13" applyNumberFormat="1" applyFont="1" applyBorder="1" applyAlignment="1">
      <alignment horizontal="center" vertical="center" shrinkToFit="1"/>
    </xf>
    <xf numFmtId="10" fontId="15" fillId="0" borderId="13" xfId="13" applyNumberFormat="1" applyFont="1" applyBorder="1" applyAlignment="1">
      <alignment horizontal="center" vertical="center" shrinkToFit="1"/>
    </xf>
    <xf numFmtId="0" fontId="14" fillId="0" borderId="0" xfId="13" applyFont="1">
      <alignment vertical="center"/>
    </xf>
    <xf numFmtId="0" fontId="14" fillId="0" borderId="0" xfId="13" applyFont="1" applyAlignment="1">
      <alignment vertical="center" shrinkToFit="1"/>
    </xf>
    <xf numFmtId="0" fontId="14" fillId="0" borderId="35" xfId="13" applyFont="1" applyBorder="1" applyAlignment="1">
      <alignment vertical="center" shrinkToFit="1"/>
    </xf>
    <xf numFmtId="10" fontId="14" fillId="0" borderId="0" xfId="12" applyNumberFormat="1" applyFont="1">
      <alignment vertical="center"/>
    </xf>
    <xf numFmtId="0" fontId="14" fillId="0" borderId="24" xfId="13" applyFont="1" applyBorder="1" applyAlignment="1">
      <alignment horizontal="left" vertical="center"/>
    </xf>
    <xf numFmtId="49" fontId="50" fillId="0" borderId="24" xfId="13" applyNumberFormat="1" applyFont="1" applyBorder="1" applyAlignment="1">
      <alignment horizontal="center" vertical="center"/>
    </xf>
    <xf numFmtId="10" fontId="12" fillId="0" borderId="2" xfId="6" applyNumberFormat="1" applyFont="1" applyBorder="1" applyAlignment="1">
      <alignment horizontal="center" vertical="center"/>
    </xf>
    <xf numFmtId="0" fontId="14" fillId="0" borderId="0" xfId="12" applyFont="1" applyAlignment="1">
      <alignment vertical="center" shrinkToFit="1"/>
    </xf>
    <xf numFmtId="0" fontId="14" fillId="0" borderId="0" xfId="12" applyFont="1" applyAlignment="1">
      <alignment horizontal="left" vertical="center" shrinkToFit="1"/>
    </xf>
    <xf numFmtId="0" fontId="14" fillId="0" borderId="0" xfId="12" applyFont="1" applyAlignment="1">
      <alignment horizontal="center" vertical="center" shrinkToFit="1"/>
    </xf>
    <xf numFmtId="10" fontId="15" fillId="0" borderId="0" xfId="12" applyNumberFormat="1" applyFont="1" applyAlignment="1">
      <alignment horizontal="center" vertical="center"/>
    </xf>
    <xf numFmtId="10" fontId="51" fillId="0" borderId="0" xfId="12" applyNumberFormat="1" applyFont="1" applyAlignment="1">
      <alignment horizontal="center"/>
    </xf>
    <xf numFmtId="10" fontId="14" fillId="0" borderId="0" xfId="12" applyNumberFormat="1" applyFont="1" applyAlignment="1">
      <alignment horizontal="center"/>
    </xf>
    <xf numFmtId="10" fontId="49" fillId="0" borderId="0" xfId="12" applyNumberFormat="1" applyFont="1">
      <alignment vertical="center"/>
    </xf>
    <xf numFmtId="10" fontId="14" fillId="0" borderId="0" xfId="12" applyNumberFormat="1" applyFont="1" applyAlignment="1">
      <alignment horizontal="center" vertical="center"/>
    </xf>
    <xf numFmtId="10" fontId="15" fillId="0" borderId="0" xfId="12" applyNumberFormat="1" applyFont="1" applyAlignment="1">
      <alignment horizontal="center"/>
    </xf>
    <xf numFmtId="0" fontId="14" fillId="0" borderId="1" xfId="21" applyNumberFormat="1" applyFont="1" applyFill="1" applyBorder="1" applyAlignment="1">
      <alignment horizontal="center" vertical="center"/>
    </xf>
    <xf numFmtId="10" fontId="12" fillId="0" borderId="24" xfId="13" applyNumberFormat="1" applyFont="1" applyBorder="1" applyAlignment="1">
      <alignment horizontal="center" vertical="center" shrinkToFit="1"/>
    </xf>
    <xf numFmtId="0" fontId="12" fillId="0" borderId="24" xfId="13" applyFont="1" applyBorder="1" applyAlignment="1">
      <alignment horizontal="center" vertical="center" shrinkToFit="1"/>
    </xf>
    <xf numFmtId="0" fontId="12" fillId="0" borderId="13" xfId="13" applyFont="1" applyBorder="1" applyAlignment="1">
      <alignment horizontal="center" vertical="center" shrinkToFit="1"/>
    </xf>
    <xf numFmtId="0" fontId="14" fillId="0" borderId="2" xfId="12" applyFont="1" applyBorder="1" applyAlignment="1">
      <alignment horizontal="center" vertical="center"/>
    </xf>
    <xf numFmtId="10" fontId="14" fillId="0" borderId="1" xfId="14" applyNumberFormat="1" applyFont="1" applyFill="1" applyBorder="1" applyAlignment="1">
      <alignment vertical="center"/>
    </xf>
    <xf numFmtId="10" fontId="14" fillId="0" borderId="30" xfId="14" applyNumberFormat="1" applyFont="1" applyFill="1" applyBorder="1" applyAlignment="1">
      <alignment vertical="center"/>
    </xf>
    <xf numFmtId="10" fontId="14" fillId="0" borderId="24" xfId="14" applyNumberFormat="1" applyFont="1" applyFill="1" applyBorder="1" applyAlignment="1">
      <alignment vertical="center"/>
    </xf>
    <xf numFmtId="10" fontId="14" fillId="0" borderId="13" xfId="14" applyNumberFormat="1" applyFont="1" applyFill="1" applyBorder="1" applyAlignment="1">
      <alignment vertical="center"/>
    </xf>
    <xf numFmtId="0" fontId="14" fillId="0" borderId="29" xfId="16" applyNumberFormat="1" applyFont="1" applyFill="1" applyBorder="1" applyAlignment="1">
      <alignment horizontal="center" vertical="center"/>
    </xf>
    <xf numFmtId="0" fontId="14" fillId="0" borderId="0" xfId="12" applyFont="1" applyAlignment="1">
      <alignment horizontal="center" vertical="center"/>
    </xf>
    <xf numFmtId="10" fontId="14" fillId="0" borderId="0" xfId="12" applyNumberFormat="1" applyFont="1" applyAlignment="1">
      <alignment vertical="center" shrinkToFit="1"/>
    </xf>
    <xf numFmtId="0" fontId="14" fillId="0" borderId="0" xfId="14" applyNumberFormat="1" applyFont="1" applyFill="1" applyBorder="1" applyAlignment="1">
      <alignment vertical="center"/>
    </xf>
    <xf numFmtId="0" fontId="14" fillId="0" borderId="0" xfId="21" applyNumberFormat="1" applyFont="1" applyFill="1" applyBorder="1" applyAlignment="1">
      <alignment vertical="center"/>
    </xf>
    <xf numFmtId="0" fontId="23" fillId="0" borderId="42" xfId="5" applyFont="1" applyBorder="1" applyAlignment="1">
      <alignment horizontal="center" vertical="center" wrapText="1"/>
    </xf>
    <xf numFmtId="0" fontId="23" fillId="0" borderId="26" xfId="5" applyFont="1" applyBorder="1" applyAlignment="1">
      <alignment horizontal="left" vertical="center" wrapText="1"/>
    </xf>
    <xf numFmtId="10" fontId="23" fillId="0" borderId="43" xfId="5" applyNumberFormat="1" applyFont="1" applyBorder="1" applyAlignment="1">
      <alignment horizontal="center" vertical="center" wrapText="1"/>
    </xf>
    <xf numFmtId="44" fontId="21" fillId="5" borderId="2" xfId="11" applyFont="1" applyFill="1" applyBorder="1" applyAlignment="1">
      <alignment horizontal="center" vertical="center" wrapText="1"/>
    </xf>
    <xf numFmtId="0" fontId="28" fillId="0" borderId="29" xfId="6" applyFont="1" applyBorder="1" applyAlignment="1">
      <alignment horizontal="center" vertical="center"/>
    </xf>
    <xf numFmtId="0" fontId="55" fillId="0" borderId="0" xfId="0" applyFont="1"/>
    <xf numFmtId="0" fontId="55" fillId="0" borderId="0" xfId="0" applyFont="1" applyAlignment="1">
      <alignment horizontal="center"/>
    </xf>
    <xf numFmtId="49" fontId="20" fillId="27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20" fillId="27" borderId="0" xfId="0" applyFont="1" applyFill="1" applyAlignment="1">
      <alignment horizontal="center"/>
    </xf>
    <xf numFmtId="0" fontId="20" fillId="27" borderId="0" xfId="0" applyFont="1" applyFill="1" applyAlignment="1">
      <alignment horizontal="left"/>
    </xf>
    <xf numFmtId="44" fontId="20" fillId="27" borderId="0" xfId="22" applyFont="1" applyFill="1" applyAlignment="1">
      <alignment horizontal="left"/>
    </xf>
    <xf numFmtId="0" fontId="56" fillId="27" borderId="0" xfId="0" applyFont="1" applyFill="1"/>
    <xf numFmtId="0" fontId="56" fillId="0" borderId="0" xfId="0" applyFont="1" applyAlignment="1">
      <alignment horizontal="center"/>
    </xf>
    <xf numFmtId="0" fontId="57" fillId="27" borderId="0" xfId="0" applyFont="1" applyFill="1"/>
    <xf numFmtId="0" fontId="58" fillId="27" borderId="0" xfId="0" applyFont="1" applyFill="1" applyAlignment="1">
      <alignment horizontal="center"/>
    </xf>
    <xf numFmtId="0" fontId="20" fillId="27" borderId="2" xfId="0" applyFont="1" applyFill="1" applyBorder="1" applyAlignment="1">
      <alignment horizontal="left"/>
    </xf>
    <xf numFmtId="0" fontId="20" fillId="27" borderId="2" xfId="0" applyFont="1" applyFill="1" applyBorder="1" applyAlignment="1">
      <alignment horizontal="center"/>
    </xf>
    <xf numFmtId="49" fontId="20" fillId="27" borderId="2" xfId="0" applyNumberFormat="1" applyFont="1" applyFill="1" applyBorder="1" applyAlignment="1">
      <alignment horizontal="center" vertical="center"/>
    </xf>
    <xf numFmtId="0" fontId="0" fillId="27" borderId="2" xfId="0" applyFill="1" applyBorder="1"/>
    <xf numFmtId="0" fontId="20" fillId="27" borderId="11" xfId="0" applyFont="1" applyFill="1" applyBorder="1" applyAlignment="1">
      <alignment horizontal="left"/>
    </xf>
    <xf numFmtId="0" fontId="0" fillId="27" borderId="2" xfId="0" applyFill="1" applyBorder="1" applyAlignment="1">
      <alignment horizontal="center"/>
    </xf>
    <xf numFmtId="44" fontId="20" fillId="27" borderId="2" xfId="22" applyFont="1" applyFill="1" applyBorder="1" applyAlignment="1">
      <alignment horizontal="left"/>
    </xf>
    <xf numFmtId="44" fontId="20" fillId="27" borderId="2" xfId="22" applyFont="1" applyFill="1" applyBorder="1" applyAlignment="1">
      <alignment horizontal="center"/>
    </xf>
    <xf numFmtId="0" fontId="20" fillId="27" borderId="2" xfId="0" applyFont="1" applyFill="1" applyBorder="1" applyAlignment="1">
      <alignment horizontal="center" vertical="center"/>
    </xf>
    <xf numFmtId="0" fontId="0" fillId="0" borderId="2" xfId="0" applyBorder="1"/>
    <xf numFmtId="0" fontId="20" fillId="27" borderId="11" xfId="0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20" fillId="27" borderId="24" xfId="0" applyFont="1" applyFill="1" applyBorder="1" applyAlignment="1">
      <alignment horizontal="left"/>
    </xf>
    <xf numFmtId="0" fontId="17" fillId="0" borderId="2" xfId="0" applyFont="1" applyBorder="1" applyAlignment="1">
      <alignment horizontal="center" vertical="center" wrapText="1"/>
    </xf>
    <xf numFmtId="0" fontId="0" fillId="0" borderId="25" xfId="0" applyBorder="1"/>
    <xf numFmtId="0" fontId="17" fillId="0" borderId="2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0" fillId="0" borderId="43" xfId="0" applyBorder="1"/>
    <xf numFmtId="0" fontId="17" fillId="0" borderId="29" xfId="0" applyFont="1" applyBorder="1" applyAlignment="1">
      <alignment horizontal="left" vertical="center" wrapText="1"/>
    </xf>
    <xf numFmtId="49" fontId="20" fillId="27" borderId="2" xfId="0" applyNumberFormat="1" applyFont="1" applyFill="1" applyBorder="1" applyAlignment="1">
      <alignment horizontal="center"/>
    </xf>
    <xf numFmtId="0" fontId="17" fillId="27" borderId="11" xfId="0" applyFont="1" applyFill="1" applyBorder="1" applyAlignment="1">
      <alignment horizontal="left" vertical="center"/>
    </xf>
    <xf numFmtId="0" fontId="17" fillId="27" borderId="2" xfId="0" applyFont="1" applyFill="1" applyBorder="1" applyAlignment="1">
      <alignment horizontal="center" vertical="center"/>
    </xf>
    <xf numFmtId="0" fontId="17" fillId="27" borderId="1" xfId="0" applyFont="1" applyFill="1" applyBorder="1" applyAlignment="1">
      <alignment horizontal="left" vertical="center"/>
    </xf>
    <xf numFmtId="0" fontId="20" fillId="27" borderId="2" xfId="0" applyFont="1" applyFill="1" applyBorder="1"/>
    <xf numFmtId="0" fontId="20" fillId="28" borderId="2" xfId="0" applyFont="1" applyFill="1" applyBorder="1" applyAlignment="1">
      <alignment horizontal="left"/>
    </xf>
    <xf numFmtId="0" fontId="20" fillId="28" borderId="2" xfId="0" applyFont="1" applyFill="1" applyBorder="1" applyAlignment="1">
      <alignment horizontal="center"/>
    </xf>
    <xf numFmtId="0" fontId="20" fillId="0" borderId="2" xfId="0" applyFont="1" applyBorder="1" applyAlignment="1">
      <alignment horizontal="center" vertical="center"/>
    </xf>
    <xf numFmtId="0" fontId="20" fillId="28" borderId="2" xfId="0" applyFont="1" applyFill="1" applyBorder="1" applyAlignment="1">
      <alignment horizontal="center" vertical="center"/>
    </xf>
    <xf numFmtId="0" fontId="62" fillId="0" borderId="2" xfId="0" applyFont="1" applyBorder="1"/>
    <xf numFmtId="0" fontId="20" fillId="28" borderId="1" xfId="0" applyFont="1" applyFill="1" applyBorder="1" applyAlignment="1">
      <alignment horizontal="left" vertical="center"/>
    </xf>
    <xf numFmtId="0" fontId="63" fillId="28" borderId="11" xfId="0" applyFont="1" applyFill="1" applyBorder="1" applyAlignment="1">
      <alignment horizontal="left"/>
    </xf>
    <xf numFmtId="0" fontId="20" fillId="28" borderId="2" xfId="0" applyFont="1" applyFill="1" applyBorder="1" applyAlignment="1">
      <alignment horizontal="left" vertical="center"/>
    </xf>
    <xf numFmtId="0" fontId="62" fillId="0" borderId="2" xfId="0" applyFont="1" applyBorder="1" applyAlignment="1">
      <alignment horizontal="center"/>
    </xf>
    <xf numFmtId="0" fontId="63" fillId="0" borderId="2" xfId="0" applyFont="1" applyBorder="1" applyAlignment="1">
      <alignment horizontal="center" vertical="center"/>
    </xf>
    <xf numFmtId="0" fontId="63" fillId="28" borderId="2" xfId="0" applyFont="1" applyFill="1" applyBorder="1" applyAlignment="1">
      <alignment horizontal="center"/>
    </xf>
    <xf numFmtId="0" fontId="20" fillId="28" borderId="24" xfId="0" applyFont="1" applyFill="1" applyBorder="1" applyAlignment="1">
      <alignment horizontal="left" vertical="center"/>
    </xf>
    <xf numFmtId="0" fontId="63" fillId="28" borderId="29" xfId="0" applyFont="1" applyFill="1" applyBorder="1" applyAlignment="1">
      <alignment horizontal="left"/>
    </xf>
    <xf numFmtId="0" fontId="20" fillId="28" borderId="11" xfId="0" applyFont="1" applyFill="1" applyBorder="1" applyAlignment="1">
      <alignment horizontal="left" vertical="center"/>
    </xf>
    <xf numFmtId="0" fontId="62" fillId="0" borderId="25" xfId="0" applyFont="1" applyBorder="1"/>
    <xf numFmtId="0" fontId="20" fillId="28" borderId="29" xfId="0" applyFont="1" applyFill="1" applyBorder="1" applyAlignment="1">
      <alignment horizontal="left" vertical="center"/>
    </xf>
    <xf numFmtId="0" fontId="63" fillId="28" borderId="2" xfId="0" applyFont="1" applyFill="1" applyBorder="1" applyAlignment="1">
      <alignment horizontal="center" vertical="center"/>
    </xf>
    <xf numFmtId="0" fontId="63" fillId="28" borderId="11" xfId="0" applyFont="1" applyFill="1" applyBorder="1" applyAlignment="1">
      <alignment horizontal="left" vertical="center"/>
    </xf>
    <xf numFmtId="0" fontId="62" fillId="0" borderId="0" xfId="0" applyFont="1"/>
    <xf numFmtId="0" fontId="62" fillId="29" borderId="2" xfId="0" applyFont="1" applyFill="1" applyBorder="1"/>
    <xf numFmtId="0" fontId="62" fillId="0" borderId="10" xfId="0" applyFont="1" applyBorder="1" applyAlignment="1">
      <alignment wrapText="1"/>
    </xf>
    <xf numFmtId="0" fontId="62" fillId="0" borderId="10" xfId="0" applyFont="1" applyBorder="1" applyAlignment="1">
      <alignment horizontal="center"/>
    </xf>
    <xf numFmtId="0" fontId="64" fillId="0" borderId="2" xfId="0" applyFont="1" applyBorder="1"/>
    <xf numFmtId="44" fontId="0" fillId="0" borderId="0" xfId="0" applyNumberFormat="1"/>
    <xf numFmtId="0" fontId="5" fillId="14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44" fontId="12" fillId="0" borderId="2" xfId="0" applyNumberFormat="1" applyFont="1" applyBorder="1" applyAlignment="1">
      <alignment horizontal="center" vertical="center"/>
    </xf>
    <xf numFmtId="44" fontId="12" fillId="0" borderId="2" xfId="22" applyFont="1" applyBorder="1" applyAlignment="1">
      <alignment horizontal="center" vertical="center"/>
    </xf>
    <xf numFmtId="44" fontId="5" fillId="6" borderId="2" xfId="0" applyNumberFormat="1" applyFont="1" applyFill="1" applyBorder="1" applyAlignment="1">
      <alignment horizontal="center" vertical="center"/>
    </xf>
    <xf numFmtId="0" fontId="15" fillId="14" borderId="2" xfId="21" applyNumberFormat="1" applyFont="1" applyFill="1" applyBorder="1" applyAlignment="1">
      <alignment horizontal="center" vertical="center"/>
    </xf>
    <xf numFmtId="0" fontId="14" fillId="0" borderId="0" xfId="5" applyFont="1" applyAlignment="1" applyProtection="1">
      <alignment horizontal="center" vertical="center"/>
      <protection locked="0"/>
    </xf>
    <xf numFmtId="10" fontId="14" fillId="0" borderId="0" xfId="5" applyNumberFormat="1" applyFont="1" applyAlignment="1" applyProtection="1">
      <alignment horizontal="center" vertical="center"/>
      <protection locked="0"/>
    </xf>
    <xf numFmtId="165" fontId="14" fillId="0" borderId="0" xfId="5" applyNumberFormat="1" applyFont="1" applyAlignment="1" applyProtection="1">
      <alignment horizontal="center" vertical="center"/>
      <protection locked="0"/>
    </xf>
    <xf numFmtId="0" fontId="10" fillId="0" borderId="0" xfId="5" applyFont="1" applyAlignment="1">
      <alignment vertical="center" wrapText="1"/>
    </xf>
    <xf numFmtId="0" fontId="10" fillId="0" borderId="3" xfId="5" applyFont="1" applyBorder="1" applyAlignment="1">
      <alignment vertical="center" wrapText="1"/>
    </xf>
    <xf numFmtId="0" fontId="10" fillId="12" borderId="2" xfId="5" applyFont="1" applyFill="1" applyBorder="1" applyAlignment="1">
      <alignment horizontal="center" vertical="center" wrapText="1"/>
    </xf>
    <xf numFmtId="44" fontId="14" fillId="0" borderId="0" xfId="5" applyNumberFormat="1" applyFont="1" applyAlignment="1" applyProtection="1">
      <alignment horizontal="center" vertical="center"/>
      <protection locked="0"/>
    </xf>
    <xf numFmtId="10" fontId="67" fillId="5" borderId="2" xfId="23" applyNumberFormat="1" applyFont="1" applyFill="1" applyBorder="1" applyAlignment="1" applyProtection="1">
      <alignment horizontal="center" vertical="center"/>
      <protection locked="0"/>
    </xf>
    <xf numFmtId="0" fontId="67" fillId="5" borderId="2" xfId="5" applyFont="1" applyFill="1" applyBorder="1" applyAlignment="1" applyProtection="1">
      <alignment horizontal="center" vertical="center"/>
      <protection locked="0"/>
    </xf>
    <xf numFmtId="0" fontId="29" fillId="0" borderId="0" xfId="5" applyFont="1" applyAlignment="1" applyProtection="1">
      <alignment horizontal="center" vertical="center"/>
      <protection locked="0"/>
    </xf>
    <xf numFmtId="2" fontId="14" fillId="0" borderId="0" xfId="5" applyNumberFormat="1" applyFont="1" applyAlignment="1" applyProtection="1">
      <alignment horizontal="center" vertical="center"/>
      <protection locked="0"/>
    </xf>
    <xf numFmtId="44" fontId="68" fillId="8" borderId="16" xfId="5" applyNumberFormat="1" applyFont="1" applyFill="1" applyBorder="1" applyAlignment="1" applyProtection="1">
      <alignment vertical="center" wrapText="1"/>
      <protection locked="0"/>
    </xf>
    <xf numFmtId="44" fontId="68" fillId="30" borderId="34" xfId="5" applyNumberFormat="1" applyFont="1" applyFill="1" applyBorder="1" applyAlignment="1" applyProtection="1">
      <alignment horizontal="center" vertical="center"/>
      <protection locked="0"/>
    </xf>
    <xf numFmtId="0" fontId="68" fillId="30" borderId="33" xfId="5" applyFont="1" applyFill="1" applyBorder="1" applyAlignment="1" applyProtection="1">
      <alignment horizontal="center" vertical="center" wrapText="1"/>
      <protection locked="0"/>
    </xf>
    <xf numFmtId="0" fontId="29" fillId="0" borderId="2" xfId="5" applyFont="1" applyBorder="1" applyAlignment="1" applyProtection="1">
      <alignment horizontal="center" vertical="center"/>
      <protection locked="0"/>
    </xf>
    <xf numFmtId="44" fontId="69" fillId="27" borderId="2" xfId="5" applyNumberFormat="1" applyFont="1" applyFill="1" applyBorder="1" applyAlignment="1" applyProtection="1">
      <alignment horizontal="center" vertical="center"/>
      <protection locked="0"/>
    </xf>
    <xf numFmtId="0" fontId="69" fillId="27" borderId="2" xfId="5" applyFont="1" applyFill="1" applyBorder="1" applyAlignment="1" applyProtection="1">
      <alignment horizontal="center" vertical="center"/>
      <protection locked="0"/>
    </xf>
    <xf numFmtId="0" fontId="29" fillId="0" borderId="44" xfId="5" applyFont="1" applyBorder="1" applyAlignment="1" applyProtection="1">
      <alignment horizontal="center" vertical="center"/>
      <protection locked="0"/>
    </xf>
    <xf numFmtId="10" fontId="30" fillId="30" borderId="34" xfId="5" applyNumberFormat="1" applyFont="1" applyFill="1" applyBorder="1" applyAlignment="1" applyProtection="1">
      <alignment horizontal="center" vertical="center"/>
      <protection locked="0"/>
    </xf>
    <xf numFmtId="0" fontId="30" fillId="30" borderId="33" xfId="5" applyFont="1" applyFill="1" applyBorder="1" applyAlignment="1" applyProtection="1">
      <alignment horizontal="center" vertical="center"/>
      <protection locked="0"/>
    </xf>
    <xf numFmtId="0" fontId="29" fillId="13" borderId="11" xfId="5" applyFont="1" applyFill="1" applyBorder="1" applyAlignment="1" applyProtection="1">
      <alignment horizontal="right" vertical="center"/>
      <protection locked="0"/>
    </xf>
    <xf numFmtId="44" fontId="29" fillId="0" borderId="2" xfId="5" applyNumberFormat="1" applyFont="1" applyBorder="1" applyAlignment="1" applyProtection="1">
      <alignment horizontal="center" vertical="center"/>
      <protection locked="0"/>
    </xf>
    <xf numFmtId="0" fontId="29" fillId="0" borderId="13" xfId="5" applyFont="1" applyBorder="1" applyAlignment="1" applyProtection="1">
      <alignment horizontal="center" vertical="center"/>
      <protection locked="0"/>
    </xf>
    <xf numFmtId="0" fontId="29" fillId="0" borderId="24" xfId="5" applyFont="1" applyBorder="1" applyAlignment="1" applyProtection="1">
      <alignment horizontal="center" vertical="center"/>
      <protection locked="0"/>
    </xf>
    <xf numFmtId="10" fontId="29" fillId="0" borderId="10" xfId="5" applyNumberFormat="1" applyFont="1" applyBorder="1" applyAlignment="1" applyProtection="1">
      <alignment horizontal="center" vertical="center"/>
      <protection locked="0"/>
    </xf>
    <xf numFmtId="10" fontId="29" fillId="0" borderId="2" xfId="5" applyNumberFormat="1" applyFont="1" applyBorder="1" applyAlignment="1" applyProtection="1">
      <alignment horizontal="center" vertical="center"/>
      <protection locked="0"/>
    </xf>
    <xf numFmtId="44" fontId="30" fillId="13" borderId="2" xfId="5" applyNumberFormat="1" applyFont="1" applyFill="1" applyBorder="1" applyAlignment="1" applyProtection="1">
      <alignment horizontal="center" vertical="center"/>
      <protection locked="0"/>
    </xf>
    <xf numFmtId="44" fontId="70" fillId="30" borderId="34" xfId="5" applyNumberFormat="1" applyFont="1" applyFill="1" applyBorder="1" applyAlignment="1" applyProtection="1">
      <alignment horizontal="center" vertical="center"/>
      <protection locked="0"/>
    </xf>
    <xf numFmtId="44" fontId="70" fillId="30" borderId="33" xfId="5" applyNumberFormat="1" applyFont="1" applyFill="1" applyBorder="1" applyAlignment="1" applyProtection="1">
      <alignment horizontal="center" vertical="center"/>
      <protection locked="0"/>
    </xf>
    <xf numFmtId="10" fontId="52" fillId="0" borderId="2" xfId="5" applyNumberFormat="1" applyFont="1" applyBorder="1" applyAlignment="1" applyProtection="1">
      <alignment horizontal="center" vertical="center"/>
      <protection locked="0"/>
    </xf>
    <xf numFmtId="44" fontId="15" fillId="0" borderId="11" xfId="5" applyNumberFormat="1" applyFont="1" applyBorder="1" applyAlignment="1" applyProtection="1">
      <alignment horizontal="center" vertical="center"/>
      <protection locked="0"/>
    </xf>
    <xf numFmtId="44" fontId="14" fillId="0" borderId="2" xfId="5" applyNumberFormat="1" applyFont="1" applyBorder="1" applyAlignment="1" applyProtection="1">
      <alignment horizontal="center" vertical="center"/>
      <protection locked="0"/>
    </xf>
    <xf numFmtId="10" fontId="14" fillId="0" borderId="2" xfId="5" applyNumberFormat="1" applyFont="1" applyBorder="1" applyAlignment="1" applyProtection="1">
      <alignment horizontal="center" vertical="center"/>
      <protection locked="0"/>
    </xf>
    <xf numFmtId="44" fontId="14" fillId="0" borderId="11" xfId="5" applyNumberFormat="1" applyFont="1" applyBorder="1" applyAlignment="1" applyProtection="1">
      <alignment horizontal="center" vertical="center"/>
      <protection locked="0"/>
    </xf>
    <xf numFmtId="3" fontId="29" fillId="0" borderId="2" xfId="5" applyNumberFormat="1" applyFont="1" applyBorder="1" applyAlignment="1">
      <alignment horizontal="center" vertical="center"/>
    </xf>
    <xf numFmtId="0" fontId="15" fillId="0" borderId="2" xfId="5" applyFont="1" applyBorder="1" applyAlignment="1" applyProtection="1">
      <alignment horizontal="center" vertical="center" wrapText="1"/>
      <protection locked="0"/>
    </xf>
    <xf numFmtId="10" fontId="15" fillId="0" borderId="11" xfId="5" applyNumberFormat="1" applyFont="1" applyBorder="1" applyAlignment="1" applyProtection="1">
      <alignment horizontal="center" vertical="center" wrapText="1"/>
      <protection locked="0"/>
    </xf>
    <xf numFmtId="44" fontId="15" fillId="0" borderId="11" xfId="5" applyNumberFormat="1" applyFont="1" applyBorder="1" applyAlignment="1" applyProtection="1">
      <alignment horizontal="center" vertical="center" wrapText="1"/>
      <protection locked="0"/>
    </xf>
    <xf numFmtId="44" fontId="15" fillId="0" borderId="13" xfId="5" applyNumberFormat="1" applyFont="1" applyBorder="1" applyAlignment="1" applyProtection="1">
      <alignment horizontal="center" vertical="center" wrapText="1"/>
      <protection locked="0"/>
    </xf>
    <xf numFmtId="0" fontId="30" fillId="5" borderId="2" xfId="5" applyFont="1" applyFill="1" applyBorder="1" applyAlignment="1" applyProtection="1">
      <alignment horizontal="center" vertical="center"/>
      <protection locked="0"/>
    </xf>
    <xf numFmtId="0" fontId="30" fillId="5" borderId="2" xfId="5" applyFont="1" applyFill="1" applyBorder="1" applyAlignment="1" applyProtection="1">
      <alignment horizontal="center" vertical="center" wrapText="1"/>
      <protection locked="0"/>
    </xf>
    <xf numFmtId="0" fontId="71" fillId="0" borderId="0" xfId="5" applyFont="1" applyAlignment="1" applyProtection="1">
      <alignment horizontal="center" vertical="center" wrapText="1"/>
      <protection locked="0"/>
    </xf>
    <xf numFmtId="0" fontId="30" fillId="0" borderId="0" xfId="5" applyFont="1" applyAlignment="1" applyProtection="1">
      <alignment horizontal="center" vertical="center" wrapText="1"/>
      <protection locked="0"/>
    </xf>
    <xf numFmtId="0" fontId="30" fillId="0" borderId="0" xfId="5" applyFont="1" applyAlignment="1" applyProtection="1">
      <alignment horizontal="center" vertical="center"/>
      <protection locked="0"/>
    </xf>
    <xf numFmtId="44" fontId="15" fillId="0" borderId="2" xfId="5" applyNumberFormat="1" applyFont="1" applyBorder="1" applyAlignment="1" applyProtection="1">
      <alignment horizontal="center" vertical="center" wrapText="1"/>
      <protection locked="0"/>
    </xf>
    <xf numFmtId="44" fontId="15" fillId="0" borderId="24" xfId="5" applyNumberFormat="1" applyFont="1" applyBorder="1" applyAlignment="1" applyProtection="1">
      <alignment horizontal="center" vertical="center" wrapText="1"/>
      <protection locked="0"/>
    </xf>
    <xf numFmtId="44" fontId="29" fillId="0" borderId="0" xfId="5" applyNumberFormat="1" applyFont="1" applyAlignment="1" applyProtection="1">
      <alignment horizontal="center" vertical="center"/>
      <protection locked="0"/>
    </xf>
    <xf numFmtId="44" fontId="70" fillId="0" borderId="0" xfId="5" applyNumberFormat="1" applyFont="1" applyAlignment="1" applyProtection="1">
      <alignment horizontal="center" vertical="center"/>
      <protection locked="0"/>
    </xf>
    <xf numFmtId="44" fontId="15" fillId="0" borderId="24" xfId="5" applyNumberFormat="1" applyFont="1" applyBorder="1" applyAlignment="1" applyProtection="1">
      <alignment horizontal="center" vertical="center"/>
      <protection locked="0"/>
    </xf>
    <xf numFmtId="44" fontId="15" fillId="0" borderId="2" xfId="5" applyNumberFormat="1" applyFont="1" applyBorder="1" applyAlignment="1" applyProtection="1">
      <alignment horizontal="center" vertical="center"/>
      <protection locked="0"/>
    </xf>
    <xf numFmtId="0" fontId="14" fillId="0" borderId="32" xfId="5" applyFont="1" applyBorder="1" applyAlignment="1" applyProtection="1">
      <alignment vertical="center"/>
      <protection locked="0"/>
    </xf>
    <xf numFmtId="172" fontId="29" fillId="0" borderId="2" xfId="5" applyNumberFormat="1" applyFont="1" applyBorder="1" applyAlignment="1" applyProtection="1">
      <alignment horizontal="center" vertical="center"/>
      <protection locked="0"/>
    </xf>
    <xf numFmtId="44" fontId="30" fillId="0" borderId="0" xfId="5" applyNumberFormat="1" applyFont="1" applyAlignment="1" applyProtection="1">
      <alignment horizontal="center" vertical="center"/>
      <protection locked="0"/>
    </xf>
    <xf numFmtId="44" fontId="69" fillId="0" borderId="0" xfId="5" applyNumberFormat="1" applyFont="1" applyAlignment="1" applyProtection="1">
      <alignment horizontal="center" vertical="center"/>
      <protection locked="0"/>
    </xf>
    <xf numFmtId="44" fontId="68" fillId="0" borderId="0" xfId="5" applyNumberFormat="1" applyFont="1" applyAlignment="1" applyProtection="1">
      <alignment horizontal="center" vertical="center"/>
      <protection locked="0"/>
    </xf>
    <xf numFmtId="44" fontId="68" fillId="0" borderId="0" xfId="5" applyNumberFormat="1" applyFont="1" applyAlignment="1" applyProtection="1">
      <alignment vertical="center" wrapText="1"/>
      <protection locked="0"/>
    </xf>
    <xf numFmtId="44" fontId="54" fillId="0" borderId="0" xfId="5" applyNumberFormat="1" applyFont="1" applyAlignment="1" applyProtection="1">
      <alignment horizontal="center" vertical="center"/>
      <protection locked="0"/>
    </xf>
    <xf numFmtId="0" fontId="10" fillId="0" borderId="2" xfId="24" applyFont="1" applyBorder="1" applyAlignment="1">
      <alignment horizontal="center" vertical="center"/>
    </xf>
    <xf numFmtId="0" fontId="15" fillId="0" borderId="0" xfId="24" applyFont="1" applyAlignment="1">
      <alignment horizontal="center"/>
    </xf>
    <xf numFmtId="44" fontId="14" fillId="0" borderId="0" xfId="24" applyNumberFormat="1" applyFont="1" applyAlignment="1">
      <alignment horizontal="center" vertical="center"/>
    </xf>
    <xf numFmtId="10" fontId="8" fillId="0" borderId="2" xfId="24" applyNumberFormat="1" applyFont="1" applyBorder="1"/>
    <xf numFmtId="44" fontId="8" fillId="0" borderId="2" xfId="24" applyNumberFormat="1" applyFont="1" applyBorder="1" applyAlignment="1">
      <alignment horizontal="center" vertical="center"/>
    </xf>
    <xf numFmtId="44" fontId="14" fillId="0" borderId="0" xfId="24" applyNumberFormat="1" applyFont="1" applyAlignment="1">
      <alignment horizontal="center"/>
    </xf>
    <xf numFmtId="10" fontId="8" fillId="0" borderId="2" xfId="24" applyNumberFormat="1" applyFont="1" applyBorder="1" applyAlignment="1">
      <alignment horizontal="center" vertical="center"/>
    </xf>
    <xf numFmtId="44" fontId="10" fillId="0" borderId="2" xfId="24" applyNumberFormat="1" applyFont="1" applyBorder="1" applyAlignment="1">
      <alignment horizontal="center" vertical="center"/>
    </xf>
    <xf numFmtId="44" fontId="15" fillId="0" borderId="3" xfId="24" applyNumberFormat="1" applyFont="1" applyBorder="1" applyAlignment="1">
      <alignment horizontal="center" vertical="center"/>
    </xf>
    <xf numFmtId="44" fontId="14" fillId="0" borderId="3" xfId="24" applyNumberFormat="1" applyFont="1" applyBorder="1" applyAlignment="1">
      <alignment horizontal="center" vertical="center"/>
    </xf>
    <xf numFmtId="10" fontId="8" fillId="0" borderId="10" xfId="24" applyNumberFormat="1" applyFont="1" applyBorder="1" applyAlignment="1">
      <alignment horizontal="center" vertical="center"/>
    </xf>
    <xf numFmtId="44" fontId="10" fillId="0" borderId="10" xfId="24" applyNumberFormat="1" applyFont="1" applyBorder="1" applyAlignment="1">
      <alignment horizontal="center" vertical="center"/>
    </xf>
    <xf numFmtId="44" fontId="10" fillId="11" borderId="34" xfId="24" applyNumberFormat="1" applyFont="1" applyFill="1" applyBorder="1" applyAlignment="1">
      <alignment horizontal="center" vertical="center"/>
    </xf>
    <xf numFmtId="44" fontId="10" fillId="11" borderId="46" xfId="24" applyNumberFormat="1" applyFont="1" applyFill="1" applyBorder="1" applyAlignment="1">
      <alignment horizontal="center" vertical="center"/>
    </xf>
    <xf numFmtId="44" fontId="15" fillId="0" borderId="47" xfId="24" applyNumberFormat="1" applyFont="1" applyBorder="1" applyAlignment="1">
      <alignment horizontal="center" vertical="center"/>
    </xf>
    <xf numFmtId="44" fontId="10" fillId="0" borderId="48" xfId="24" applyNumberFormat="1" applyFont="1" applyBorder="1" applyAlignment="1">
      <alignment horizontal="center" vertical="center"/>
    </xf>
    <xf numFmtId="44" fontId="10" fillId="30" borderId="34" xfId="24" applyNumberFormat="1" applyFont="1" applyFill="1" applyBorder="1" applyAlignment="1">
      <alignment horizontal="center" vertical="center"/>
    </xf>
    <xf numFmtId="44" fontId="10" fillId="30" borderId="46" xfId="24" applyNumberFormat="1" applyFont="1" applyFill="1" applyBorder="1" applyAlignment="1">
      <alignment horizontal="center" vertical="center"/>
    </xf>
    <xf numFmtId="44" fontId="8" fillId="0" borderId="48" xfId="24" applyNumberFormat="1" applyFont="1" applyBorder="1" applyAlignment="1">
      <alignment horizontal="center" vertical="center"/>
    </xf>
    <xf numFmtId="44" fontId="10" fillId="9" borderId="37" xfId="24" applyNumberFormat="1" applyFont="1" applyFill="1" applyBorder="1" applyAlignment="1">
      <alignment horizontal="center" vertical="center"/>
    </xf>
    <xf numFmtId="0" fontId="8" fillId="0" borderId="2" xfId="24" applyFont="1" applyBorder="1" applyAlignment="1">
      <alignment horizontal="center" vertical="center"/>
    </xf>
    <xf numFmtId="0" fontId="65" fillId="0" borderId="2" xfId="5" applyFont="1" applyBorder="1" applyAlignment="1">
      <alignment horizontal="center" vertical="center"/>
    </xf>
    <xf numFmtId="10" fontId="14" fillId="0" borderId="0" xfId="5" applyNumberFormat="1" applyFont="1" applyAlignment="1">
      <alignment horizontal="center" vertical="center"/>
    </xf>
    <xf numFmtId="0" fontId="3" fillId="0" borderId="1" xfId="25" applyFont="1" applyBorder="1"/>
    <xf numFmtId="0" fontId="4" fillId="0" borderId="0" xfId="25" applyFont="1"/>
    <xf numFmtId="0" fontId="4" fillId="0" borderId="0" xfId="25" applyFont="1" applyAlignment="1">
      <alignment horizontal="center" vertical="center"/>
    </xf>
    <xf numFmtId="166" fontId="4" fillId="0" borderId="0" xfId="25" applyNumberFormat="1" applyFont="1" applyAlignment="1">
      <alignment horizontal="center" vertical="center"/>
    </xf>
    <xf numFmtId="44" fontId="4" fillId="0" borderId="0" xfId="25" applyNumberFormat="1" applyFont="1" applyAlignment="1">
      <alignment horizontal="center" vertical="center"/>
    </xf>
    <xf numFmtId="10" fontId="4" fillId="0" borderId="0" xfId="25" applyNumberFormat="1" applyFont="1" applyAlignment="1">
      <alignment horizontal="center" vertical="center"/>
    </xf>
    <xf numFmtId="0" fontId="5" fillId="0" borderId="3" xfId="25" applyFont="1" applyBorder="1" applyAlignment="1">
      <alignment horizontal="center" vertical="center" wrapText="1"/>
    </xf>
    <xf numFmtId="0" fontId="3" fillId="3" borderId="7" xfId="25" applyFont="1" applyFill="1" applyBorder="1" applyAlignment="1">
      <alignment horizontal="center" vertical="center"/>
    </xf>
    <xf numFmtId="0" fontId="3" fillId="4" borderId="8" xfId="25" applyFont="1" applyFill="1" applyBorder="1" applyAlignment="1">
      <alignment horizontal="center" vertical="center"/>
    </xf>
    <xf numFmtId="0" fontId="4" fillId="0" borderId="11" xfId="25" applyFont="1" applyBorder="1" applyAlignment="1">
      <alignment horizontal="center" vertical="center"/>
    </xf>
    <xf numFmtId="0" fontId="4" fillId="0" borderId="12" xfId="25" applyFont="1" applyBorder="1" applyAlignment="1">
      <alignment horizontal="center" vertical="center"/>
    </xf>
    <xf numFmtId="44" fontId="4" fillId="0" borderId="13" xfId="25" applyNumberFormat="1" applyFont="1" applyBorder="1" applyAlignment="1">
      <alignment horizontal="center" vertical="center"/>
    </xf>
    <xf numFmtId="44" fontId="4" fillId="0" borderId="2" xfId="25" applyNumberFormat="1" applyFont="1" applyBorder="1" applyAlignment="1">
      <alignment horizontal="center" vertical="center"/>
    </xf>
    <xf numFmtId="0" fontId="4" fillId="0" borderId="2" xfId="25" applyFont="1" applyBorder="1" applyAlignment="1">
      <alignment horizontal="center" vertical="center"/>
    </xf>
    <xf numFmtId="0" fontId="3" fillId="0" borderId="2" xfId="25" applyFont="1" applyBorder="1" applyAlignment="1">
      <alignment horizontal="center" vertical="center"/>
    </xf>
    <xf numFmtId="10" fontId="3" fillId="0" borderId="2" xfId="25" applyNumberFormat="1" applyFont="1" applyBorder="1" applyAlignment="1">
      <alignment horizontal="center" vertical="center"/>
    </xf>
    <xf numFmtId="0" fontId="3" fillId="0" borderId="2" xfId="25" applyFont="1" applyBorder="1" applyAlignment="1">
      <alignment horizontal="center" vertical="center" wrapText="1"/>
    </xf>
    <xf numFmtId="0" fontId="4" fillId="0" borderId="3" xfId="25" applyFont="1" applyBorder="1" applyAlignment="1">
      <alignment horizontal="center" vertical="center" wrapText="1"/>
    </xf>
    <xf numFmtId="44" fontId="3" fillId="5" borderId="2" xfId="25" applyNumberFormat="1" applyFont="1" applyFill="1" applyBorder="1" applyAlignment="1">
      <alignment horizontal="center" vertical="center" wrapText="1"/>
    </xf>
    <xf numFmtId="0" fontId="3" fillId="2" borderId="12" xfId="25" applyFont="1" applyFill="1" applyBorder="1" applyAlignment="1">
      <alignment horizontal="center" vertical="center" wrapText="1"/>
    </xf>
    <xf numFmtId="44" fontId="3" fillId="2" borderId="13" xfId="25" applyNumberFormat="1" applyFont="1" applyFill="1" applyBorder="1" applyAlignment="1">
      <alignment horizontal="center" vertical="center" wrapText="1"/>
    </xf>
    <xf numFmtId="44" fontId="3" fillId="2" borderId="2" xfId="25" applyNumberFormat="1" applyFont="1" applyFill="1" applyBorder="1" applyAlignment="1">
      <alignment horizontal="center" vertical="center" wrapText="1"/>
    </xf>
    <xf numFmtId="44" fontId="3" fillId="0" borderId="2" xfId="25" applyNumberFormat="1" applyFont="1" applyBorder="1" applyAlignment="1">
      <alignment horizontal="center" vertical="center" wrapText="1"/>
    </xf>
    <xf numFmtId="10" fontId="3" fillId="0" borderId="2" xfId="25" applyNumberFormat="1" applyFont="1" applyBorder="1" applyAlignment="1">
      <alignment horizontal="center" vertical="center" wrapText="1"/>
    </xf>
    <xf numFmtId="44" fontId="3" fillId="6" borderId="2" xfId="25" applyNumberFormat="1" applyFont="1" applyFill="1" applyBorder="1" applyAlignment="1">
      <alignment horizontal="center" vertical="center" wrapText="1"/>
    </xf>
    <xf numFmtId="0" fontId="4" fillId="0" borderId="14" xfId="25" applyFont="1" applyBorder="1" applyAlignment="1">
      <alignment horizontal="center" vertical="center"/>
    </xf>
    <xf numFmtId="166" fontId="4" fillId="0" borderId="2" xfId="25" applyNumberFormat="1" applyFont="1" applyBorder="1" applyAlignment="1">
      <alignment horizontal="center" vertical="center"/>
    </xf>
    <xf numFmtId="44" fontId="7" fillId="0" borderId="12" xfId="25" applyNumberFormat="1" applyFont="1" applyBorder="1" applyAlignment="1">
      <alignment horizontal="center" vertical="center"/>
    </xf>
    <xf numFmtId="44" fontId="7" fillId="0" borderId="13" xfId="25" applyNumberFormat="1" applyFont="1" applyBorder="1" applyAlignment="1">
      <alignment horizontal="center" vertical="center"/>
    </xf>
    <xf numFmtId="44" fontId="8" fillId="0" borderId="2" xfId="25" applyNumberFormat="1" applyFont="1" applyBorder="1" applyAlignment="1">
      <alignment horizontal="center" vertical="center"/>
    </xf>
    <xf numFmtId="44" fontId="7" fillId="0" borderId="2" xfId="25" applyNumberFormat="1" applyFont="1" applyBorder="1" applyAlignment="1">
      <alignment horizontal="center" vertical="center"/>
    </xf>
    <xf numFmtId="10" fontId="4" fillId="0" borderId="2" xfId="25" applyNumberFormat="1" applyFont="1" applyBorder="1" applyAlignment="1">
      <alignment horizontal="center" vertical="center"/>
    </xf>
    <xf numFmtId="44" fontId="4" fillId="0" borderId="17" xfId="25" applyNumberFormat="1" applyFont="1" applyBorder="1" applyAlignment="1">
      <alignment horizontal="center" vertical="center"/>
    </xf>
    <xf numFmtId="0" fontId="4" fillId="0" borderId="18" xfId="25" applyFont="1" applyBorder="1" applyAlignment="1">
      <alignment horizontal="center" vertical="center"/>
    </xf>
    <xf numFmtId="166" fontId="4" fillId="0" borderId="19" xfId="25" applyNumberFormat="1" applyFont="1" applyBorder="1" applyAlignment="1">
      <alignment horizontal="center" vertical="center"/>
    </xf>
    <xf numFmtId="44" fontId="4" fillId="0" borderId="19" xfId="25" applyNumberFormat="1" applyFont="1" applyBorder="1" applyAlignment="1">
      <alignment horizontal="center" vertical="center"/>
    </xf>
    <xf numFmtId="0" fontId="4" fillId="0" borderId="9" xfId="25" applyFont="1" applyBorder="1" applyAlignment="1">
      <alignment horizontal="center" vertical="center"/>
    </xf>
    <xf numFmtId="166" fontId="4" fillId="0" borderId="10" xfId="25" applyNumberFormat="1" applyFont="1" applyBorder="1" applyAlignment="1">
      <alignment horizontal="center" vertical="center"/>
    </xf>
    <xf numFmtId="44" fontId="4" fillId="0" borderId="10" xfId="25" applyNumberFormat="1" applyFont="1" applyBorder="1" applyAlignment="1">
      <alignment horizontal="center" vertical="center"/>
    </xf>
    <xf numFmtId="44" fontId="10" fillId="3" borderId="22" xfId="25" applyNumberFormat="1" applyFont="1" applyFill="1" applyBorder="1" applyAlignment="1">
      <alignment vertical="center"/>
    </xf>
    <xf numFmtId="0" fontId="3" fillId="3" borderId="23" xfId="25" applyFont="1" applyFill="1" applyBorder="1" applyAlignment="1">
      <alignment vertical="center"/>
    </xf>
    <xf numFmtId="10" fontId="3" fillId="5" borderId="2" xfId="25" applyNumberFormat="1" applyFont="1" applyFill="1" applyBorder="1" applyAlignment="1">
      <alignment horizontal="center" vertical="center"/>
    </xf>
    <xf numFmtId="44" fontId="3" fillId="4" borderId="22" xfId="25" applyNumberFormat="1" applyFont="1" applyFill="1" applyBorder="1" applyAlignment="1">
      <alignment vertical="center"/>
    </xf>
    <xf numFmtId="0" fontId="3" fillId="6" borderId="23" xfId="25" applyFont="1" applyFill="1" applyBorder="1" applyAlignment="1">
      <alignment vertical="center"/>
    </xf>
    <xf numFmtId="10" fontId="3" fillId="6" borderId="2" xfId="25" applyNumberFormat="1" applyFont="1" applyFill="1" applyBorder="1" applyAlignment="1">
      <alignment horizontal="center" vertical="center"/>
    </xf>
    <xf numFmtId="0" fontId="3" fillId="7" borderId="16" xfId="25" applyFont="1" applyFill="1" applyBorder="1" applyAlignment="1">
      <alignment horizontal="center" vertical="center"/>
    </xf>
    <xf numFmtId="0" fontId="3" fillId="0" borderId="1" xfId="26" applyFont="1" applyBorder="1"/>
    <xf numFmtId="44" fontId="4" fillId="0" borderId="0" xfId="26" applyNumberFormat="1" applyFont="1"/>
    <xf numFmtId="0" fontId="4" fillId="0" borderId="0" xfId="26" applyFont="1" applyAlignment="1">
      <alignment horizontal="center" vertical="center"/>
    </xf>
    <xf numFmtId="166" fontId="4" fillId="0" borderId="0" xfId="26" applyNumberFormat="1" applyFont="1" applyAlignment="1">
      <alignment horizontal="center" vertical="center"/>
    </xf>
    <xf numFmtId="44" fontId="4" fillId="0" borderId="0" xfId="26" applyNumberFormat="1" applyFont="1" applyAlignment="1">
      <alignment horizontal="center" vertical="center"/>
    </xf>
    <xf numFmtId="10" fontId="4" fillId="0" borderId="0" xfId="26" applyNumberFormat="1" applyFont="1" applyAlignment="1">
      <alignment horizontal="center" vertical="center"/>
    </xf>
    <xf numFmtId="165" fontId="4" fillId="0" borderId="0" xfId="26" applyNumberFormat="1" applyFont="1" applyAlignment="1">
      <alignment horizontal="center" vertical="center"/>
    </xf>
    <xf numFmtId="44" fontId="5" fillId="0" borderId="3" xfId="26" applyNumberFormat="1" applyFont="1" applyBorder="1" applyAlignment="1">
      <alignment horizontal="center" vertical="center" wrapText="1"/>
    </xf>
    <xf numFmtId="44" fontId="5" fillId="0" borderId="0" xfId="26" applyNumberFormat="1" applyFont="1" applyAlignment="1">
      <alignment horizontal="center" vertical="center" wrapText="1"/>
    </xf>
    <xf numFmtId="0" fontId="3" fillId="3" borderId="7" xfId="26" applyFont="1" applyFill="1" applyBorder="1" applyAlignment="1">
      <alignment horizontal="center" vertical="center"/>
    </xf>
    <xf numFmtId="0" fontId="3" fillId="4" borderId="8" xfId="26" applyFont="1" applyFill="1" applyBorder="1" applyAlignment="1">
      <alignment horizontal="center" vertical="center"/>
    </xf>
    <xf numFmtId="0" fontId="4" fillId="0" borderId="11" xfId="26" applyFont="1" applyBorder="1" applyAlignment="1">
      <alignment horizontal="center" vertical="center"/>
    </xf>
    <xf numFmtId="0" fontId="4" fillId="0" borderId="12" xfId="26" applyFont="1" applyBorder="1" applyAlignment="1">
      <alignment horizontal="center" vertical="center"/>
    </xf>
    <xf numFmtId="44" fontId="4" fillId="0" borderId="13" xfId="26" applyNumberFormat="1" applyFont="1" applyBorder="1" applyAlignment="1">
      <alignment horizontal="center" vertical="center"/>
    </xf>
    <xf numFmtId="44" fontId="4" fillId="0" borderId="2" xfId="26" applyNumberFormat="1" applyFont="1" applyBorder="1" applyAlignment="1">
      <alignment horizontal="center" vertical="center"/>
    </xf>
    <xf numFmtId="0" fontId="4" fillId="0" borderId="2" xfId="26" applyFont="1" applyBorder="1" applyAlignment="1">
      <alignment horizontal="center" vertical="center"/>
    </xf>
    <xf numFmtId="0" fontId="3" fillId="0" borderId="2" xfId="26" applyFont="1" applyBorder="1" applyAlignment="1">
      <alignment horizontal="center" vertical="center"/>
    </xf>
    <xf numFmtId="10" fontId="3" fillId="0" borderId="2" xfId="26" applyNumberFormat="1" applyFont="1" applyBorder="1" applyAlignment="1">
      <alignment horizontal="center" vertical="center"/>
    </xf>
    <xf numFmtId="0" fontId="3" fillId="0" borderId="2" xfId="26" applyFont="1" applyBorder="1" applyAlignment="1">
      <alignment horizontal="center" vertical="center" wrapText="1"/>
    </xf>
    <xf numFmtId="44" fontId="6" fillId="0" borderId="3" xfId="26" applyNumberFormat="1" applyFont="1" applyBorder="1" applyAlignment="1">
      <alignment horizontal="center" vertical="center" wrapText="1"/>
    </xf>
    <xf numFmtId="44" fontId="3" fillId="5" borderId="2" xfId="26" applyNumberFormat="1" applyFont="1" applyFill="1" applyBorder="1" applyAlignment="1">
      <alignment horizontal="center" vertical="center" wrapText="1"/>
    </xf>
    <xf numFmtId="0" fontId="3" fillId="2" borderId="12" xfId="26" applyFont="1" applyFill="1" applyBorder="1" applyAlignment="1">
      <alignment horizontal="center" vertical="center" wrapText="1"/>
    </xf>
    <xf numFmtId="44" fontId="3" fillId="2" borderId="13" xfId="26" applyNumberFormat="1" applyFont="1" applyFill="1" applyBorder="1" applyAlignment="1">
      <alignment horizontal="center" vertical="center" wrapText="1"/>
    </xf>
    <xf numFmtId="44" fontId="3" fillId="2" borderId="2" xfId="26" applyNumberFormat="1" applyFont="1" applyFill="1" applyBorder="1" applyAlignment="1">
      <alignment horizontal="center" vertical="center" wrapText="1"/>
    </xf>
    <xf numFmtId="44" fontId="3" fillId="0" borderId="2" xfId="26" applyNumberFormat="1" applyFont="1" applyBorder="1" applyAlignment="1">
      <alignment horizontal="center" vertical="center" wrapText="1"/>
    </xf>
    <xf numFmtId="10" fontId="3" fillId="0" borderId="2" xfId="26" applyNumberFormat="1" applyFont="1" applyBorder="1" applyAlignment="1">
      <alignment horizontal="center" vertical="center" wrapText="1"/>
    </xf>
    <xf numFmtId="44" fontId="3" fillId="6" borderId="2" xfId="26" applyNumberFormat="1" applyFont="1" applyFill="1" applyBorder="1" applyAlignment="1">
      <alignment horizontal="center" vertical="center" wrapText="1"/>
    </xf>
    <xf numFmtId="0" fontId="4" fillId="22" borderId="14" xfId="26" applyFont="1" applyFill="1" applyBorder="1" applyAlignment="1">
      <alignment horizontal="center" vertical="center"/>
    </xf>
    <xf numFmtId="173" fontId="3" fillId="0" borderId="2" xfId="26" applyNumberFormat="1" applyFont="1" applyBorder="1" applyAlignment="1">
      <alignment horizontal="center" vertical="center"/>
    </xf>
    <xf numFmtId="44" fontId="7" fillId="0" borderId="12" xfId="26" applyNumberFormat="1" applyFont="1" applyBorder="1" applyAlignment="1">
      <alignment horizontal="center" vertical="center"/>
    </xf>
    <xf numFmtId="44" fontId="7" fillId="0" borderId="13" xfId="26" applyNumberFormat="1" applyFont="1" applyBorder="1" applyAlignment="1">
      <alignment horizontal="center" vertical="center"/>
    </xf>
    <xf numFmtId="44" fontId="8" fillId="0" borderId="2" xfId="26" applyNumberFormat="1" applyFont="1" applyBorder="1" applyAlignment="1">
      <alignment horizontal="center" vertical="center"/>
    </xf>
    <xf numFmtId="44" fontId="3" fillId="13" borderId="2" xfId="26" applyNumberFormat="1" applyFont="1" applyFill="1" applyBorder="1" applyAlignment="1">
      <alignment horizontal="center" vertical="center"/>
    </xf>
    <xf numFmtId="44" fontId="7" fillId="0" borderId="2" xfId="26" applyNumberFormat="1" applyFont="1" applyBorder="1" applyAlignment="1">
      <alignment horizontal="center" vertical="center"/>
    </xf>
    <xf numFmtId="0" fontId="4" fillId="0" borderId="14" xfId="26" applyFont="1" applyBorder="1" applyAlignment="1">
      <alignment horizontal="center" vertical="center"/>
    </xf>
    <xf numFmtId="173" fontId="3" fillId="22" borderId="2" xfId="26" applyNumberFormat="1" applyFont="1" applyFill="1" applyBorder="1" applyAlignment="1">
      <alignment horizontal="center" vertical="center"/>
    </xf>
    <xf numFmtId="44" fontId="4" fillId="0" borderId="17" xfId="26" applyNumberFormat="1" applyFont="1" applyBorder="1" applyAlignment="1">
      <alignment horizontal="center" vertical="center"/>
    </xf>
    <xf numFmtId="173" fontId="3" fillId="0" borderId="10" xfId="26" applyNumberFormat="1" applyFont="1" applyBorder="1" applyAlignment="1">
      <alignment horizontal="center" vertical="center"/>
    </xf>
    <xf numFmtId="0" fontId="4" fillId="22" borderId="18" xfId="26" applyFont="1" applyFill="1" applyBorder="1" applyAlignment="1">
      <alignment horizontal="center" vertical="center"/>
    </xf>
    <xf numFmtId="173" fontId="3" fillId="0" borderId="19" xfId="26" applyNumberFormat="1" applyFont="1" applyBorder="1" applyAlignment="1">
      <alignment horizontal="center" vertical="center"/>
    </xf>
    <xf numFmtId="0" fontId="4" fillId="0" borderId="9" xfId="26" applyFont="1" applyBorder="1" applyAlignment="1">
      <alignment horizontal="center" vertical="center"/>
    </xf>
    <xf numFmtId="9" fontId="9" fillId="0" borderId="0" xfId="26" applyNumberFormat="1" applyFont="1" applyAlignment="1">
      <alignment horizontal="center" vertical="center"/>
    </xf>
    <xf numFmtId="44" fontId="10" fillId="3" borderId="22" xfId="26" applyNumberFormat="1" applyFont="1" applyFill="1" applyBorder="1" applyAlignment="1">
      <alignment vertical="center"/>
    </xf>
    <xf numFmtId="0" fontId="3" fillId="3" borderId="23" xfId="26" applyFont="1" applyFill="1" applyBorder="1" applyAlignment="1">
      <alignment vertical="center"/>
    </xf>
    <xf numFmtId="10" fontId="3" fillId="9" borderId="2" xfId="26" applyNumberFormat="1" applyFont="1" applyFill="1" applyBorder="1" applyAlignment="1">
      <alignment horizontal="center" vertical="center"/>
    </xf>
    <xf numFmtId="44" fontId="3" fillId="4" borderId="22" xfId="26" applyNumberFormat="1" applyFont="1" applyFill="1" applyBorder="1" applyAlignment="1">
      <alignment vertical="center"/>
    </xf>
    <xf numFmtId="0" fontId="3" fillId="6" borderId="23" xfId="26" applyFont="1" applyFill="1" applyBorder="1" applyAlignment="1">
      <alignment vertical="center"/>
    </xf>
    <xf numFmtId="10" fontId="3" fillId="10" borderId="2" xfId="26" applyNumberFormat="1" applyFont="1" applyFill="1" applyBorder="1" applyAlignment="1">
      <alignment horizontal="center" vertical="center"/>
    </xf>
    <xf numFmtId="0" fontId="3" fillId="7" borderId="16" xfId="26" applyFont="1" applyFill="1" applyBorder="1" applyAlignment="1">
      <alignment horizontal="center" vertical="center"/>
    </xf>
    <xf numFmtId="0" fontId="4" fillId="0" borderId="0" xfId="26" applyFont="1"/>
    <xf numFmtId="0" fontId="3" fillId="13" borderId="2" xfId="26" applyFont="1" applyFill="1" applyBorder="1" applyAlignment="1">
      <alignment horizontal="center" vertical="center"/>
    </xf>
    <xf numFmtId="166" fontId="3" fillId="13" borderId="2" xfId="26" applyNumberFormat="1" applyFont="1" applyFill="1" applyBorder="1" applyAlignment="1">
      <alignment horizontal="center" vertical="center"/>
    </xf>
    <xf numFmtId="0" fontId="11" fillId="0" borderId="0" xfId="26" applyFont="1" applyAlignment="1">
      <alignment horizontal="center" vertical="center"/>
    </xf>
    <xf numFmtId="0" fontId="3" fillId="0" borderId="0" xfId="27" applyFont="1" applyAlignment="1">
      <alignment horizontal="center" vertical="center"/>
    </xf>
    <xf numFmtId="44" fontId="4" fillId="0" borderId="0" xfId="27" applyNumberFormat="1" applyFont="1"/>
    <xf numFmtId="0" fontId="73" fillId="31" borderId="16" xfId="27" applyFont="1" applyFill="1" applyBorder="1" applyAlignment="1">
      <alignment horizontal="center" vertical="center"/>
    </xf>
    <xf numFmtId="0" fontId="74" fillId="0" borderId="29" xfId="27" applyFont="1" applyBorder="1" applyAlignment="1">
      <alignment horizontal="center" vertical="center"/>
    </xf>
    <xf numFmtId="165" fontId="73" fillId="0" borderId="49" xfId="27" applyNumberFormat="1" applyFont="1" applyBorder="1" applyAlignment="1">
      <alignment horizontal="center" vertical="center"/>
    </xf>
    <xf numFmtId="165" fontId="73" fillId="0" borderId="0" xfId="27" applyNumberFormat="1" applyFont="1" applyAlignment="1">
      <alignment horizontal="center" vertical="center"/>
    </xf>
    <xf numFmtId="0" fontId="65" fillId="0" borderId="0" xfId="27" applyFont="1" applyAlignment="1">
      <alignment horizontal="center"/>
    </xf>
    <xf numFmtId="0" fontId="75" fillId="0" borderId="2" xfId="27" applyFont="1" applyBorder="1" applyAlignment="1">
      <alignment horizontal="center" vertical="center"/>
    </xf>
    <xf numFmtId="44" fontId="75" fillId="0" borderId="2" xfId="27" applyNumberFormat="1" applyFont="1" applyBorder="1" applyAlignment="1">
      <alignment vertical="center"/>
    </xf>
    <xf numFmtId="165" fontId="76" fillId="0" borderId="16" xfId="27" applyNumberFormat="1" applyFont="1" applyBorder="1" applyAlignment="1">
      <alignment vertical="center"/>
    </xf>
    <xf numFmtId="165" fontId="76" fillId="0" borderId="0" xfId="27" applyNumberFormat="1" applyFont="1" applyAlignment="1">
      <alignment vertical="center"/>
    </xf>
    <xf numFmtId="166" fontId="77" fillId="0" borderId="0" xfId="28" applyNumberFormat="1" applyFont="1" applyAlignment="1">
      <alignment horizontal="center" vertical="center"/>
    </xf>
    <xf numFmtId="165" fontId="78" fillId="0" borderId="2" xfId="28" applyNumberFormat="1" applyFont="1" applyBorder="1" applyAlignment="1">
      <alignment horizontal="center" vertical="center"/>
    </xf>
    <xf numFmtId="165" fontId="78" fillId="0" borderId="0" xfId="28" applyNumberFormat="1" applyFont="1" applyAlignment="1">
      <alignment horizontal="center" vertical="center"/>
    </xf>
    <xf numFmtId="165" fontId="79" fillId="0" borderId="2" xfId="28" applyNumberFormat="1" applyFont="1" applyBorder="1" applyAlignment="1">
      <alignment horizontal="center" vertical="center"/>
    </xf>
    <xf numFmtId="165" fontId="79" fillId="0" borderId="0" xfId="28" applyNumberFormat="1" applyFont="1" applyAlignment="1">
      <alignment horizontal="center" vertical="center"/>
    </xf>
    <xf numFmtId="165" fontId="78" fillId="0" borderId="29" xfId="28" applyNumberFormat="1" applyFont="1" applyBorder="1" applyAlignment="1">
      <alignment horizontal="center" vertical="center"/>
    </xf>
    <xf numFmtId="0" fontId="67" fillId="0" borderId="50" xfId="27" applyFont="1" applyBorder="1" applyAlignment="1">
      <alignment horizontal="center" vertical="center"/>
    </xf>
    <xf numFmtId="165" fontId="78" fillId="0" borderId="11" xfId="28" applyNumberFormat="1" applyFont="1" applyBorder="1" applyAlignment="1">
      <alignment horizontal="center" vertical="center"/>
    </xf>
    <xf numFmtId="0" fontId="65" fillId="0" borderId="38" xfId="27" applyFont="1" applyBorder="1" applyAlignment="1">
      <alignment horizontal="center" vertical="center"/>
    </xf>
    <xf numFmtId="171" fontId="78" fillId="0" borderId="2" xfId="28" applyNumberFormat="1" applyFont="1" applyBorder="1" applyAlignment="1">
      <alignment horizontal="center" vertical="center"/>
    </xf>
    <xf numFmtId="171" fontId="78" fillId="0" borderId="27" xfId="28" applyNumberFormat="1" applyFont="1" applyBorder="1" applyAlignment="1">
      <alignment horizontal="center" vertical="center"/>
    </xf>
    <xf numFmtId="0" fontId="65" fillId="0" borderId="51" xfId="27" applyFont="1" applyBorder="1" applyAlignment="1">
      <alignment horizontal="center" vertical="center"/>
    </xf>
    <xf numFmtId="44" fontId="4" fillId="13" borderId="0" xfId="26" applyNumberFormat="1" applyFont="1" applyFill="1" applyAlignment="1">
      <alignment horizontal="center" vertical="center"/>
    </xf>
    <xf numFmtId="44" fontId="4" fillId="14" borderId="0" xfId="26" applyNumberFormat="1" applyFont="1" applyFill="1" applyAlignment="1">
      <alignment horizontal="center" vertical="center"/>
    </xf>
    <xf numFmtId="165" fontId="8" fillId="0" borderId="2" xfId="27" applyNumberFormat="1" applyFont="1" applyBorder="1" applyAlignment="1">
      <alignment horizontal="center" vertical="center"/>
    </xf>
    <xf numFmtId="165" fontId="10" fillId="0" borderId="2" xfId="27" applyNumberFormat="1" applyFont="1" applyBorder="1" applyAlignment="1">
      <alignment horizontal="center" vertical="center"/>
    </xf>
    <xf numFmtId="165" fontId="81" fillId="7" borderId="2" xfId="27" applyNumberFormat="1" applyFont="1" applyFill="1" applyBorder="1" applyAlignment="1">
      <alignment horizontal="center" vertical="center"/>
    </xf>
    <xf numFmtId="165" fontId="8" fillId="22" borderId="2" xfId="27" applyNumberFormat="1" applyFont="1" applyFill="1" applyBorder="1" applyAlignment="1">
      <alignment horizontal="center" vertical="center"/>
    </xf>
    <xf numFmtId="165" fontId="8" fillId="14" borderId="2" xfId="27" applyNumberFormat="1" applyFont="1" applyFill="1" applyBorder="1" applyAlignment="1">
      <alignment horizontal="center" vertical="center"/>
    </xf>
    <xf numFmtId="0" fontId="65" fillId="0" borderId="0" xfId="29" applyFont="1" applyAlignment="1">
      <alignment horizontal="center"/>
    </xf>
    <xf numFmtId="0" fontId="65" fillId="0" borderId="0" xfId="29" applyFont="1"/>
    <xf numFmtId="44" fontId="8" fillId="0" borderId="0" xfId="29" applyNumberFormat="1" applyFont="1" applyAlignment="1">
      <alignment vertical="center"/>
    </xf>
    <xf numFmtId="44" fontId="65" fillId="0" borderId="0" xfId="29" applyNumberFormat="1" applyFont="1" applyAlignment="1">
      <alignment horizontal="center" vertical="center"/>
    </xf>
    <xf numFmtId="0" fontId="8" fillId="0" borderId="0" xfId="29" applyFont="1" applyAlignment="1">
      <alignment horizontal="center"/>
    </xf>
    <xf numFmtId="0" fontId="8" fillId="0" borderId="0" xfId="29" applyFont="1"/>
    <xf numFmtId="0" fontId="10" fillId="14" borderId="2" xfId="29" applyFont="1" applyFill="1" applyBorder="1" applyAlignment="1">
      <alignment horizontal="center" vertical="center"/>
    </xf>
    <xf numFmtId="0" fontId="10" fillId="14" borderId="2" xfId="29" applyFont="1" applyFill="1" applyBorder="1" applyAlignment="1">
      <alignment horizontal="center" vertical="center" wrapText="1"/>
    </xf>
    <xf numFmtId="0" fontId="15" fillId="0" borderId="16" xfId="29" applyFont="1" applyBorder="1" applyAlignment="1">
      <alignment horizontal="center" vertical="center" wrapText="1"/>
    </xf>
    <xf numFmtId="44" fontId="10" fillId="22" borderId="16" xfId="29" applyNumberFormat="1" applyFont="1" applyFill="1" applyBorder="1" applyAlignment="1">
      <alignment horizontal="center" vertical="center"/>
    </xf>
    <xf numFmtId="44" fontId="8" fillId="0" borderId="16" xfId="29" applyNumberFormat="1" applyFont="1" applyBorder="1" applyAlignment="1">
      <alignment vertical="center"/>
    </xf>
    <xf numFmtId="44" fontId="8" fillId="0" borderId="2" xfId="29" applyNumberFormat="1" applyFont="1" applyBorder="1" applyAlignment="1">
      <alignment vertical="center"/>
    </xf>
    <xf numFmtId="0" fontId="15" fillId="0" borderId="0" xfId="29" applyFont="1" applyAlignment="1">
      <alignment horizontal="center" vertical="center" wrapText="1"/>
    </xf>
    <xf numFmtId="44" fontId="8" fillId="0" borderId="0" xfId="29" applyNumberFormat="1" applyFont="1" applyAlignment="1">
      <alignment horizontal="center" vertical="center"/>
    </xf>
    <xf numFmtId="44" fontId="8" fillId="27" borderId="0" xfId="29" applyNumberFormat="1" applyFont="1" applyFill="1" applyAlignment="1">
      <alignment horizontal="center" vertical="center"/>
    </xf>
    <xf numFmtId="44" fontId="8" fillId="0" borderId="0" xfId="29" applyNumberFormat="1" applyFont="1" applyAlignment="1">
      <alignment horizontal="center"/>
    </xf>
    <xf numFmtId="0" fontId="10" fillId="15" borderId="2" xfId="5" applyFont="1" applyFill="1" applyBorder="1" applyAlignment="1">
      <alignment horizontal="center" vertical="center" wrapText="1"/>
    </xf>
    <xf numFmtId="10" fontId="29" fillId="0" borderId="0" xfId="5" applyNumberFormat="1" applyFont="1" applyAlignment="1">
      <alignment horizontal="center" vertical="center"/>
    </xf>
    <xf numFmtId="0" fontId="14" fillId="0" borderId="28" xfId="12" applyFont="1" applyBorder="1">
      <alignment vertical="center"/>
    </xf>
    <xf numFmtId="0" fontId="27" fillId="33" borderId="2" xfId="30" applyFont="1" applyFill="1" applyBorder="1" applyAlignment="1">
      <alignment horizontal="center" vertical="center" wrapText="1"/>
    </xf>
    <xf numFmtId="44" fontId="27" fillId="32" borderId="2" xfId="11" applyFont="1" applyFill="1" applyBorder="1" applyAlignment="1">
      <alignment horizontal="center" vertical="center" wrapText="1"/>
    </xf>
    <xf numFmtId="10" fontId="27" fillId="32" borderId="2" xfId="30" applyNumberFormat="1" applyFont="1" applyFill="1" applyBorder="1" applyAlignment="1">
      <alignment horizontal="center" vertical="center" wrapText="1"/>
    </xf>
    <xf numFmtId="10" fontId="28" fillId="19" borderId="2" xfId="30" applyNumberFormat="1" applyFont="1" applyFill="1" applyBorder="1" applyAlignment="1">
      <alignment horizontal="center" vertical="center" wrapText="1"/>
    </xf>
    <xf numFmtId="0" fontId="28" fillId="0" borderId="2" xfId="30" applyFont="1" applyBorder="1" applyAlignment="1">
      <alignment horizontal="center" vertical="center" wrapText="1"/>
    </xf>
    <xf numFmtId="174" fontId="29" fillId="27" borderId="2" xfId="11" applyNumberFormat="1" applyFont="1" applyFill="1" applyBorder="1" applyAlignment="1">
      <alignment horizontal="center" vertical="center" wrapText="1"/>
    </xf>
    <xf numFmtId="0" fontId="4" fillId="0" borderId="0" xfId="31" applyFont="1"/>
    <xf numFmtId="0" fontId="4" fillId="0" borderId="0" xfId="31" applyFont="1" applyAlignment="1">
      <alignment horizontal="center"/>
    </xf>
    <xf numFmtId="0" fontId="1" fillId="0" borderId="0" xfId="31"/>
    <xf numFmtId="2" fontId="1" fillId="0" borderId="0" xfId="31" applyNumberFormat="1"/>
    <xf numFmtId="168" fontId="1" fillId="0" borderId="0" xfId="31" applyNumberFormat="1"/>
    <xf numFmtId="0" fontId="83" fillId="0" borderId="0" xfId="31" applyFont="1" applyAlignment="1">
      <alignment horizontal="center"/>
    </xf>
    <xf numFmtId="0" fontId="31" fillId="0" borderId="0" xfId="31" applyFont="1"/>
    <xf numFmtId="0" fontId="83" fillId="0" borderId="0" xfId="31" applyFont="1" applyAlignment="1">
      <alignment horizontal="center" wrapText="1"/>
    </xf>
    <xf numFmtId="0" fontId="31" fillId="0" borderId="0" xfId="31" applyFont="1" applyAlignment="1">
      <alignment wrapText="1"/>
    </xf>
    <xf numFmtId="0" fontId="85" fillId="27" borderId="44" xfId="31" applyFont="1" applyFill="1" applyBorder="1" applyAlignment="1">
      <alignment horizontal="center" vertical="center"/>
    </xf>
    <xf numFmtId="0" fontId="85" fillId="27" borderId="2" xfId="31" applyFont="1" applyFill="1" applyBorder="1" applyAlignment="1">
      <alignment horizontal="center" vertical="center" wrapText="1"/>
    </xf>
    <xf numFmtId="10" fontId="83" fillId="15" borderId="11" xfId="31" applyNumberFormat="1" applyFont="1" applyFill="1" applyBorder="1" applyAlignment="1">
      <alignment horizontal="center" vertical="center" wrapText="1"/>
    </xf>
    <xf numFmtId="0" fontId="83" fillId="15" borderId="55" xfId="31" applyFont="1" applyFill="1" applyBorder="1" applyAlignment="1">
      <alignment horizontal="center" vertical="center"/>
    </xf>
    <xf numFmtId="10" fontId="83" fillId="34" borderId="11" xfId="31" applyNumberFormat="1" applyFont="1" applyFill="1" applyBorder="1" applyAlignment="1">
      <alignment horizontal="center" vertical="center" wrapText="1"/>
    </xf>
    <xf numFmtId="0" fontId="83" fillId="34" borderId="55" xfId="31" applyFont="1" applyFill="1" applyBorder="1" applyAlignment="1">
      <alignment horizontal="center" vertical="center"/>
    </xf>
    <xf numFmtId="10" fontId="83" fillId="32" borderId="11" xfId="31" applyNumberFormat="1" applyFont="1" applyFill="1" applyBorder="1" applyAlignment="1">
      <alignment horizontal="center" vertical="center" wrapText="1"/>
    </xf>
    <xf numFmtId="0" fontId="83" fillId="32" borderId="55" xfId="31" applyFont="1" applyFill="1" applyBorder="1" applyAlignment="1">
      <alignment horizontal="center" vertical="center"/>
    </xf>
    <xf numFmtId="0" fontId="85" fillId="27" borderId="56" xfId="31" applyFont="1" applyFill="1" applyBorder="1" applyAlignment="1">
      <alignment horizontal="center" vertical="center"/>
    </xf>
    <xf numFmtId="0" fontId="85" fillId="27" borderId="10" xfId="31" applyFont="1" applyFill="1" applyBorder="1" applyAlignment="1">
      <alignment horizontal="center" vertical="center" wrapText="1"/>
    </xf>
    <xf numFmtId="10" fontId="83" fillId="2" borderId="27" xfId="31" applyNumberFormat="1" applyFont="1" applyFill="1" applyBorder="1" applyAlignment="1">
      <alignment horizontal="center" vertical="center" wrapText="1"/>
    </xf>
    <xf numFmtId="0" fontId="83" fillId="2" borderId="60" xfId="31" applyFont="1" applyFill="1" applyBorder="1" applyAlignment="1">
      <alignment horizontal="center" vertical="center"/>
    </xf>
    <xf numFmtId="0" fontId="85" fillId="0" borderId="0" xfId="31" applyFont="1" applyAlignment="1">
      <alignment horizontal="center"/>
    </xf>
    <xf numFmtId="0" fontId="83" fillId="18" borderId="63" xfId="31" applyFont="1" applyFill="1" applyBorder="1" applyAlignment="1">
      <alignment horizontal="center" vertical="center"/>
    </xf>
    <xf numFmtId="0" fontId="83" fillId="18" borderId="64" xfId="31" applyFont="1" applyFill="1" applyBorder="1" applyAlignment="1">
      <alignment horizontal="center" vertical="center"/>
    </xf>
    <xf numFmtId="0" fontId="83" fillId="18" borderId="65" xfId="31" applyFont="1" applyFill="1" applyBorder="1" applyAlignment="1">
      <alignment horizontal="center" vertical="center"/>
    </xf>
    <xf numFmtId="0" fontId="85" fillId="0" borderId="44" xfId="31" applyFont="1" applyBorder="1" applyAlignment="1">
      <alignment horizontal="center" vertical="center"/>
    </xf>
    <xf numFmtId="0" fontId="85" fillId="0" borderId="2" xfId="31" applyFont="1" applyBorder="1" applyAlignment="1">
      <alignment horizontal="justify" vertical="center" wrapText="1"/>
    </xf>
    <xf numFmtId="0" fontId="83" fillId="0" borderId="55" xfId="31" applyFont="1" applyBorder="1" applyAlignment="1">
      <alignment horizontal="center" vertical="center"/>
    </xf>
    <xf numFmtId="0" fontId="85" fillId="0" borderId="66" xfId="31" applyFont="1" applyBorder="1" applyAlignment="1">
      <alignment horizontal="center" vertical="center"/>
    </xf>
    <xf numFmtId="0" fontId="85" fillId="0" borderId="19" xfId="31" applyFont="1" applyBorder="1" applyAlignment="1">
      <alignment horizontal="justify" vertical="center" wrapText="1"/>
    </xf>
    <xf numFmtId="0" fontId="83" fillId="0" borderId="60" xfId="31" applyFont="1" applyBorder="1" applyAlignment="1">
      <alignment horizontal="center" vertical="center"/>
    </xf>
    <xf numFmtId="0" fontId="15" fillId="22" borderId="2" xfId="20" applyFont="1" applyFill="1" applyBorder="1" applyAlignment="1">
      <alignment horizontal="center" vertical="center" wrapText="1"/>
    </xf>
    <xf numFmtId="0" fontId="14" fillId="0" borderId="2" xfId="32" applyFont="1" applyBorder="1" applyAlignment="1">
      <alignment horizontal="center" vertical="center"/>
    </xf>
    <xf numFmtId="0" fontId="14" fillId="0" borderId="2" xfId="32" applyFont="1" applyBorder="1" applyAlignment="1">
      <alignment horizontal="center" vertical="center" wrapText="1"/>
    </xf>
    <xf numFmtId="0" fontId="30" fillId="23" borderId="2" xfId="5" applyFont="1" applyFill="1" applyBorder="1" applyAlignment="1">
      <alignment horizontal="center" vertical="center" wrapText="1"/>
    </xf>
    <xf numFmtId="0" fontId="60" fillId="27" borderId="10" xfId="0" applyFont="1" applyFill="1" applyBorder="1" applyAlignment="1">
      <alignment horizontal="center" vertical="center" wrapText="1"/>
    </xf>
    <xf numFmtId="49" fontId="60" fillId="27" borderId="10" xfId="0" applyNumberFormat="1" applyFont="1" applyFill="1" applyBorder="1" applyAlignment="1">
      <alignment horizontal="center" vertical="center" wrapText="1"/>
    </xf>
    <xf numFmtId="0" fontId="60" fillId="27" borderId="27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/>
    </xf>
    <xf numFmtId="44" fontId="60" fillId="27" borderId="10" xfId="22" applyFont="1" applyFill="1" applyBorder="1" applyAlignment="1">
      <alignment horizontal="center" vertical="center" wrapText="1"/>
    </xf>
    <xf numFmtId="164" fontId="20" fillId="28" borderId="2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62" fillId="0" borderId="10" xfId="0" applyFont="1" applyBorder="1"/>
    <xf numFmtId="0" fontId="8" fillId="0" borderId="2" xfId="5" applyFont="1" applyBorder="1" applyAlignment="1">
      <alignment horizontal="center" vertical="center"/>
    </xf>
    <xf numFmtId="44" fontId="66" fillId="0" borderId="2" xfId="29" applyNumberFormat="1" applyFont="1" applyBorder="1" applyAlignment="1">
      <alignment vertical="center"/>
    </xf>
    <xf numFmtId="0" fontId="19" fillId="13" borderId="2" xfId="0" applyFont="1" applyFill="1" applyBorder="1" applyAlignment="1">
      <alignment horizontal="center" vertical="center" wrapText="1"/>
    </xf>
    <xf numFmtId="2" fontId="18" fillId="13" borderId="2" xfId="0" applyNumberFormat="1" applyFont="1" applyFill="1" applyBorder="1" applyAlignment="1">
      <alignment horizontal="center" vertical="center" wrapText="1"/>
    </xf>
    <xf numFmtId="44" fontId="18" fillId="13" borderId="2" xfId="3" applyFont="1" applyFill="1" applyBorder="1" applyAlignment="1">
      <alignment vertical="center" wrapText="1"/>
    </xf>
    <xf numFmtId="44" fontId="18" fillId="13" borderId="2" xfId="3" applyFont="1" applyFill="1" applyBorder="1" applyAlignment="1">
      <alignment horizontal="center" vertical="center" wrapText="1"/>
    </xf>
    <xf numFmtId="49" fontId="60" fillId="27" borderId="0" xfId="0" applyNumberFormat="1" applyFont="1" applyFill="1" applyAlignment="1">
      <alignment horizontal="center" vertical="center" wrapText="1"/>
    </xf>
    <xf numFmtId="0" fontId="31" fillId="0" borderId="68" xfId="0" applyFont="1" applyBorder="1" applyAlignment="1">
      <alignment horizontal="center" vertical="center"/>
    </xf>
    <xf numFmtId="0" fontId="60" fillId="27" borderId="2" xfId="0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/>
    </xf>
    <xf numFmtId="0" fontId="0" fillId="0" borderId="67" xfId="0" applyBorder="1"/>
    <xf numFmtId="0" fontId="20" fillId="0" borderId="10" xfId="0" applyFont="1" applyBorder="1" applyAlignment="1">
      <alignment horizontal="left"/>
    </xf>
    <xf numFmtId="0" fontId="20" fillId="0" borderId="2" xfId="0" applyFont="1" applyBorder="1" applyAlignment="1">
      <alignment horizontal="center"/>
    </xf>
    <xf numFmtId="0" fontId="20" fillId="0" borderId="10" xfId="0" applyFont="1" applyBorder="1" applyAlignment="1">
      <alignment horizontal="center" vertical="center"/>
    </xf>
    <xf numFmtId="0" fontId="20" fillId="0" borderId="2" xfId="0" applyFont="1" applyBorder="1" applyAlignment="1">
      <alignment horizontal="left" vertical="center"/>
    </xf>
    <xf numFmtId="0" fontId="20" fillId="0" borderId="10" xfId="0" applyFont="1" applyBorder="1" applyAlignment="1">
      <alignment horizontal="center"/>
    </xf>
    <xf numFmtId="0" fontId="63" fillId="0" borderId="27" xfId="0" applyFont="1" applyBorder="1" applyAlignment="1">
      <alignment horizontal="left"/>
    </xf>
    <xf numFmtId="164" fontId="20" fillId="0" borderId="2" xfId="0" applyNumberFormat="1" applyFont="1" applyBorder="1" applyAlignment="1">
      <alignment horizontal="center"/>
    </xf>
    <xf numFmtId="44" fontId="20" fillId="0" borderId="10" xfId="22" applyFont="1" applyFill="1" applyBorder="1" applyAlignment="1">
      <alignment horizontal="center"/>
    </xf>
    <xf numFmtId="0" fontId="20" fillId="0" borderId="16" xfId="0" applyFont="1" applyBorder="1" applyAlignment="1">
      <alignment horizontal="center" vertical="center"/>
    </xf>
    <xf numFmtId="44" fontId="20" fillId="0" borderId="2" xfId="22" applyFont="1" applyFill="1" applyBorder="1" applyAlignment="1">
      <alignment horizontal="center"/>
    </xf>
    <xf numFmtId="44" fontId="20" fillId="0" borderId="16" xfId="22" applyFont="1" applyFill="1" applyBorder="1" applyAlignment="1">
      <alignment horizontal="center"/>
    </xf>
    <xf numFmtId="0" fontId="20" fillId="0" borderId="2" xfId="0" applyFont="1" applyBorder="1" applyAlignment="1">
      <alignment horizontal="left"/>
    </xf>
    <xf numFmtId="0" fontId="63" fillId="0" borderId="11" xfId="0" applyFont="1" applyBorder="1" applyAlignment="1">
      <alignment horizontal="left"/>
    </xf>
    <xf numFmtId="0" fontId="20" fillId="0" borderId="1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20" fillId="0" borderId="24" xfId="0" applyFont="1" applyBorder="1" applyAlignment="1">
      <alignment horizontal="left" vertical="center"/>
    </xf>
    <xf numFmtId="0" fontId="62" fillId="0" borderId="2" xfId="0" applyFont="1" applyBorder="1" applyAlignment="1">
      <alignment wrapText="1"/>
    </xf>
    <xf numFmtId="0" fontId="62" fillId="0" borderId="0" xfId="0" applyFont="1" applyAlignment="1">
      <alignment vertical="center"/>
    </xf>
    <xf numFmtId="0" fontId="12" fillId="19" borderId="2" xfId="34" applyFont="1" applyFill="1" applyBorder="1" applyAlignment="1">
      <alignment horizontal="center" vertical="center" wrapText="1"/>
    </xf>
    <xf numFmtId="0" fontId="14" fillId="0" borderId="2" xfId="34" applyFont="1" applyBorder="1" applyAlignment="1">
      <alignment horizontal="center" vertical="center" wrapText="1"/>
    </xf>
    <xf numFmtId="0" fontId="12" fillId="19" borderId="10" xfId="34" applyFont="1" applyFill="1" applyBorder="1" applyAlignment="1">
      <alignment horizontal="center" vertical="center" wrapText="1"/>
    </xf>
    <xf numFmtId="0" fontId="46" fillId="0" borderId="0" xfId="35" applyFont="1" applyAlignment="1">
      <alignment horizontal="center" wrapText="1"/>
    </xf>
    <xf numFmtId="0" fontId="46" fillId="0" borderId="0" xfId="35" applyFont="1" applyAlignment="1">
      <alignment vertical="center" wrapText="1"/>
    </xf>
    <xf numFmtId="0" fontId="14" fillId="38" borderId="1" xfId="16" applyNumberFormat="1" applyFont="1" applyFill="1" applyBorder="1" applyAlignment="1">
      <alignment horizontal="center" vertical="center"/>
    </xf>
    <xf numFmtId="0" fontId="14" fillId="38" borderId="1" xfId="13" applyFont="1" applyFill="1" applyBorder="1" applyAlignment="1">
      <alignment horizontal="center" vertical="center"/>
    </xf>
    <xf numFmtId="10" fontId="14" fillId="38" borderId="24" xfId="13" applyNumberFormat="1" applyFont="1" applyFill="1" applyBorder="1" applyAlignment="1">
      <alignment horizontal="center" vertical="center"/>
    </xf>
    <xf numFmtId="10" fontId="14" fillId="38" borderId="24" xfId="13" applyNumberFormat="1" applyFont="1" applyFill="1" applyBorder="1" applyAlignment="1">
      <alignment horizontal="left" vertical="center"/>
    </xf>
    <xf numFmtId="10" fontId="14" fillId="38" borderId="1" xfId="13" applyNumberFormat="1" applyFont="1" applyFill="1" applyBorder="1">
      <alignment vertical="center"/>
    </xf>
    <xf numFmtId="2" fontId="14" fillId="38" borderId="1" xfId="16" applyNumberFormat="1" applyFont="1" applyFill="1" applyBorder="1" applyAlignment="1">
      <alignment horizontal="center" vertical="center"/>
    </xf>
    <xf numFmtId="10" fontId="14" fillId="38" borderId="24" xfId="13" applyNumberFormat="1" applyFont="1" applyFill="1" applyBorder="1">
      <alignment vertical="center"/>
    </xf>
    <xf numFmtId="0" fontId="90" fillId="0" borderId="0" xfId="36"/>
    <xf numFmtId="0" fontId="67" fillId="0" borderId="2" xfId="9" applyFont="1" applyBorder="1" applyAlignment="1">
      <alignment horizontal="center" vertical="center" wrapText="1"/>
    </xf>
    <xf numFmtId="0" fontId="67" fillId="0" borderId="2" xfId="9" applyFont="1" applyBorder="1" applyAlignment="1">
      <alignment vertical="center" wrapText="1"/>
    </xf>
    <xf numFmtId="0" fontId="65" fillId="0" borderId="2" xfId="9" applyFont="1" applyBorder="1" applyAlignment="1">
      <alignment horizontal="center" vertical="center" wrapText="1"/>
    </xf>
    <xf numFmtId="0" fontId="65" fillId="0" borderId="2" xfId="36" applyFont="1" applyBorder="1" applyAlignment="1">
      <alignment horizontal="center" vertical="center"/>
    </xf>
    <xf numFmtId="49" fontId="65" fillId="0" borderId="2" xfId="9" applyNumberFormat="1" applyFont="1" applyBorder="1" applyAlignment="1">
      <alignment horizontal="center" vertical="center" wrapText="1"/>
    </xf>
    <xf numFmtId="0" fontId="13" fillId="0" borderId="0" xfId="36" applyFont="1"/>
    <xf numFmtId="49" fontId="65" fillId="0" borderId="3" xfId="9" applyNumberFormat="1" applyFont="1" applyBorder="1" applyAlignment="1">
      <alignment horizontal="center" vertical="center" wrapText="1"/>
    </xf>
    <xf numFmtId="4" fontId="32" fillId="0" borderId="0" xfId="38" applyNumberFormat="1" applyFont="1"/>
    <xf numFmtId="0" fontId="1" fillId="0" borderId="0" xfId="38"/>
    <xf numFmtId="4" fontId="33" fillId="0" borderId="0" xfId="38" applyNumberFormat="1" applyFont="1" applyAlignment="1">
      <alignment wrapText="1"/>
    </xf>
    <xf numFmtId="0" fontId="22" fillId="21" borderId="2" xfId="38" applyFont="1" applyFill="1" applyBorder="1" applyAlignment="1">
      <alignment horizontal="center" vertical="center" wrapText="1"/>
    </xf>
    <xf numFmtId="10" fontId="22" fillId="21" borderId="2" xfId="38" applyNumberFormat="1" applyFont="1" applyFill="1" applyBorder="1" applyAlignment="1">
      <alignment horizontal="center" vertical="center" wrapText="1"/>
    </xf>
    <xf numFmtId="44" fontId="22" fillId="21" borderId="2" xfId="38" applyNumberFormat="1" applyFont="1" applyFill="1" applyBorder="1" applyAlignment="1">
      <alignment horizontal="center" vertical="center" wrapText="1"/>
    </xf>
    <xf numFmtId="0" fontId="34" fillId="5" borderId="2" xfId="38" applyFont="1" applyFill="1" applyBorder="1" applyAlignment="1">
      <alignment horizontal="center" vertical="center" wrapText="1"/>
    </xf>
    <xf numFmtId="0" fontId="22" fillId="5" borderId="2" xfId="38" applyFont="1" applyFill="1" applyBorder="1" applyAlignment="1">
      <alignment horizontal="center" vertical="center" wrapText="1"/>
    </xf>
    <xf numFmtId="0" fontId="35" fillId="5" borderId="2" xfId="38" applyFont="1" applyFill="1" applyBorder="1" applyAlignment="1">
      <alignment vertical="center" wrapText="1"/>
    </xf>
    <xf numFmtId="44" fontId="35" fillId="5" borderId="2" xfId="38" applyNumberFormat="1" applyFont="1" applyFill="1" applyBorder="1" applyAlignment="1">
      <alignment vertical="center" wrapText="1"/>
    </xf>
    <xf numFmtId="0" fontId="21" fillId="0" borderId="2" xfId="38" applyFont="1" applyBorder="1" applyAlignment="1">
      <alignment horizontal="center" vertical="center" wrapText="1"/>
    </xf>
    <xf numFmtId="0" fontId="21" fillId="0" borderId="2" xfId="38" applyFont="1" applyBorder="1" applyAlignment="1">
      <alignment horizontal="left" vertical="center" wrapText="1"/>
    </xf>
    <xf numFmtId="10" fontId="21" fillId="0" borderId="2" xfId="38" applyNumberFormat="1" applyFont="1" applyBorder="1" applyAlignment="1">
      <alignment horizontal="center" vertical="center" wrapText="1"/>
    </xf>
    <xf numFmtId="44" fontId="23" fillId="0" borderId="2" xfId="38" applyNumberFormat="1" applyFont="1" applyBorder="1" applyAlignment="1">
      <alignment horizontal="center" vertical="center" wrapText="1"/>
    </xf>
    <xf numFmtId="44" fontId="21" fillId="0" borderId="2" xfId="38" applyNumberFormat="1" applyFont="1" applyBorder="1" applyAlignment="1">
      <alignment horizontal="center" vertical="center" wrapText="1"/>
    </xf>
    <xf numFmtId="0" fontId="23" fillId="0" borderId="25" xfId="39" applyFont="1" applyBorder="1" applyAlignment="1">
      <alignment horizontal="right" vertical="center" wrapText="1"/>
    </xf>
    <xf numFmtId="165" fontId="53" fillId="0" borderId="2" xfId="38" applyNumberFormat="1" applyFont="1" applyBorder="1" applyAlignment="1">
      <alignment horizontal="center" vertical="center" wrapText="1"/>
    </xf>
    <xf numFmtId="10" fontId="53" fillId="0" borderId="2" xfId="38" applyNumberFormat="1" applyFont="1" applyBorder="1" applyAlignment="1">
      <alignment horizontal="center" vertical="center" wrapText="1"/>
    </xf>
    <xf numFmtId="44" fontId="53" fillId="0" borderId="2" xfId="38" applyNumberFormat="1" applyFont="1" applyBorder="1" applyAlignment="1">
      <alignment horizontal="center" vertical="center" wrapText="1"/>
    </xf>
    <xf numFmtId="0" fontId="22" fillId="23" borderId="2" xfId="38" applyFont="1" applyFill="1" applyBorder="1" applyAlignment="1">
      <alignment vertical="center" wrapText="1"/>
    </xf>
    <xf numFmtId="44" fontId="22" fillId="23" borderId="2" xfId="38" applyNumberFormat="1" applyFont="1" applyFill="1" applyBorder="1" applyAlignment="1">
      <alignment vertical="center" wrapText="1"/>
    </xf>
    <xf numFmtId="0" fontId="26" fillId="0" borderId="2" xfId="38" applyFont="1" applyBorder="1" applyAlignment="1">
      <alignment horizontal="center" vertical="center" wrapText="1"/>
    </xf>
    <xf numFmtId="0" fontId="37" fillId="0" borderId="2" xfId="38" applyFont="1" applyBorder="1" applyAlignment="1">
      <alignment horizontal="center" vertical="center" wrapText="1"/>
    </xf>
    <xf numFmtId="44" fontId="21" fillId="0" borderId="2" xfId="38" applyNumberFormat="1" applyFont="1" applyBorder="1" applyAlignment="1">
      <alignment vertical="center" wrapText="1"/>
    </xf>
    <xf numFmtId="0" fontId="91" fillId="0" borderId="2" xfId="38" applyFont="1" applyBorder="1" applyAlignment="1">
      <alignment horizontal="center" vertical="center" wrapText="1"/>
    </xf>
    <xf numFmtId="0" fontId="21" fillId="5" borderId="2" xfId="38" applyFont="1" applyFill="1" applyBorder="1" applyAlignment="1">
      <alignment horizontal="right" vertical="center" wrapText="1"/>
    </xf>
    <xf numFmtId="10" fontId="21" fillId="5" borderId="2" xfId="38" applyNumberFormat="1" applyFont="1" applyFill="1" applyBorder="1" applyAlignment="1">
      <alignment horizontal="center" vertical="center" wrapText="1"/>
    </xf>
    <xf numFmtId="44" fontId="21" fillId="5" borderId="2" xfId="38" applyNumberFormat="1" applyFont="1" applyFill="1" applyBorder="1" applyAlignment="1">
      <alignment horizontal="center" vertical="center" wrapText="1"/>
    </xf>
    <xf numFmtId="0" fontId="37" fillId="24" borderId="2" xfId="38" applyFont="1" applyFill="1" applyBorder="1" applyAlignment="1">
      <alignment vertical="center" wrapText="1"/>
    </xf>
    <xf numFmtId="0" fontId="35" fillId="23" borderId="2" xfId="38" applyFont="1" applyFill="1" applyBorder="1" applyAlignment="1">
      <alignment vertical="center" wrapText="1"/>
    </xf>
    <xf numFmtId="44" fontId="35" fillId="23" borderId="2" xfId="38" applyNumberFormat="1" applyFont="1" applyFill="1" applyBorder="1" applyAlignment="1">
      <alignment vertical="center" wrapText="1"/>
    </xf>
    <xf numFmtId="0" fontId="21" fillId="19" borderId="2" xfId="38" applyFont="1" applyFill="1" applyBorder="1" applyAlignment="1">
      <alignment horizontal="center" vertical="center" wrapText="1"/>
    </xf>
    <xf numFmtId="0" fontId="21" fillId="19" borderId="2" xfId="38" applyFont="1" applyFill="1" applyBorder="1" applyAlignment="1">
      <alignment horizontal="left" vertical="center" wrapText="1"/>
    </xf>
    <xf numFmtId="10" fontId="21" fillId="19" borderId="2" xfId="38" applyNumberFormat="1" applyFont="1" applyFill="1" applyBorder="1" applyAlignment="1">
      <alignment horizontal="center" vertical="center" wrapText="1"/>
    </xf>
    <xf numFmtId="44" fontId="21" fillId="19" borderId="2" xfId="38" applyNumberFormat="1" applyFont="1" applyFill="1" applyBorder="1" applyAlignment="1">
      <alignment horizontal="center" vertical="center" wrapText="1"/>
    </xf>
    <xf numFmtId="44" fontId="25" fillId="19" borderId="2" xfId="38" applyNumberFormat="1" applyFont="1" applyFill="1" applyBorder="1" applyAlignment="1">
      <alignment horizontal="center" vertical="center" wrapText="1"/>
    </xf>
    <xf numFmtId="165" fontId="2" fillId="0" borderId="0" xfId="38" applyNumberFormat="1" applyFont="1"/>
    <xf numFmtId="44" fontId="23" fillId="19" borderId="2" xfId="38" applyNumberFormat="1" applyFont="1" applyFill="1" applyBorder="1" applyAlignment="1">
      <alignment horizontal="center" vertical="center" wrapText="1"/>
    </xf>
    <xf numFmtId="0" fontId="37" fillId="23" borderId="2" xfId="38" applyFont="1" applyFill="1" applyBorder="1" applyAlignment="1">
      <alignment vertical="center" wrapText="1"/>
    </xf>
    <xf numFmtId="0" fontId="37" fillId="23" borderId="2" xfId="38" applyFont="1" applyFill="1" applyBorder="1" applyAlignment="1">
      <alignment horizontal="right" vertical="center" wrapText="1"/>
    </xf>
    <xf numFmtId="10" fontId="21" fillId="23" borderId="2" xfId="38" applyNumberFormat="1" applyFont="1" applyFill="1" applyBorder="1" applyAlignment="1">
      <alignment horizontal="center" vertical="center" wrapText="1"/>
    </xf>
    <xf numFmtId="44" fontId="37" fillId="23" borderId="2" xfId="38" applyNumberFormat="1" applyFont="1" applyFill="1" applyBorder="1" applyAlignment="1">
      <alignment horizontal="center" vertical="center" wrapText="1"/>
    </xf>
    <xf numFmtId="0" fontId="21" fillId="24" borderId="2" xfId="38" applyFont="1" applyFill="1" applyBorder="1" applyAlignment="1">
      <alignment vertical="center" wrapText="1"/>
    </xf>
    <xf numFmtId="0" fontId="1" fillId="23" borderId="2" xfId="38" applyFill="1" applyBorder="1" applyAlignment="1">
      <alignment vertical="center" wrapText="1"/>
    </xf>
    <xf numFmtId="44" fontId="1" fillId="23" borderId="2" xfId="38" applyNumberFormat="1" applyFill="1" applyBorder="1" applyAlignment="1">
      <alignment vertical="center" wrapText="1"/>
    </xf>
    <xf numFmtId="10" fontId="23" fillId="19" borderId="2" xfId="38" applyNumberFormat="1" applyFont="1" applyFill="1" applyBorder="1" applyAlignment="1">
      <alignment horizontal="center" vertical="center" wrapText="1"/>
    </xf>
    <xf numFmtId="0" fontId="22" fillId="19" borderId="2" xfId="38" applyFont="1" applyFill="1" applyBorder="1" applyAlignment="1">
      <alignment horizontal="left" vertical="center" wrapText="1"/>
    </xf>
    <xf numFmtId="0" fontId="23" fillId="0" borderId="2" xfId="38" applyFont="1" applyBorder="1" applyAlignment="1">
      <alignment horizontal="center" vertical="center" wrapText="1"/>
    </xf>
    <xf numFmtId="0" fontId="23" fillId="0" borderId="2" xfId="38" applyFont="1" applyBorder="1" applyAlignment="1">
      <alignment horizontal="left" vertical="center" wrapText="1"/>
    </xf>
    <xf numFmtId="10" fontId="23" fillId="0" borderId="2" xfId="38" applyNumberFormat="1" applyFont="1" applyBorder="1" applyAlignment="1">
      <alignment horizontal="center" vertical="center" wrapText="1"/>
    </xf>
    <xf numFmtId="0" fontId="21" fillId="23" borderId="2" xfId="38" applyFont="1" applyFill="1" applyBorder="1" applyAlignment="1">
      <alignment vertical="center" wrapText="1"/>
    </xf>
    <xf numFmtId="44" fontId="31" fillId="23" borderId="2" xfId="38" applyNumberFormat="1" applyFont="1" applyFill="1" applyBorder="1" applyAlignment="1">
      <alignment vertical="center" wrapText="1"/>
    </xf>
    <xf numFmtId="0" fontId="26" fillId="0" borderId="2" xfId="38" applyFont="1" applyBorder="1" applyAlignment="1">
      <alignment horizontal="left" vertical="center" wrapText="1"/>
    </xf>
    <xf numFmtId="0" fontId="21" fillId="0" borderId="10" xfId="38" applyFont="1" applyBorder="1" applyAlignment="1">
      <alignment horizontal="center" vertical="center" wrapText="1"/>
    </xf>
    <xf numFmtId="0" fontId="26" fillId="0" borderId="10" xfId="38" applyFont="1" applyBorder="1" applyAlignment="1">
      <alignment horizontal="left" vertical="center" wrapText="1"/>
    </xf>
    <xf numFmtId="10" fontId="21" fillId="0" borderId="10" xfId="38" applyNumberFormat="1" applyFont="1" applyBorder="1" applyAlignment="1">
      <alignment horizontal="center" vertical="center" wrapText="1"/>
    </xf>
    <xf numFmtId="0" fontId="21" fillId="0" borderId="36" xfId="38" applyFont="1" applyBorder="1" applyAlignment="1">
      <alignment horizontal="center" vertical="center" wrapText="1"/>
    </xf>
    <xf numFmtId="0" fontId="21" fillId="0" borderId="36" xfId="38" applyFont="1" applyBorder="1" applyAlignment="1">
      <alignment horizontal="left" vertical="center" wrapText="1"/>
    </xf>
    <xf numFmtId="10" fontId="21" fillId="0" borderId="36" xfId="38" applyNumberFormat="1" applyFont="1" applyBorder="1" applyAlignment="1">
      <alignment horizontal="center" vertical="center" wrapText="1"/>
    </xf>
    <xf numFmtId="44" fontId="21" fillId="0" borderId="36" xfId="38" applyNumberFormat="1" applyFont="1" applyBorder="1" applyAlignment="1">
      <alignment horizontal="center" vertical="center" wrapText="1"/>
    </xf>
    <xf numFmtId="44" fontId="21" fillId="0" borderId="16" xfId="38" applyNumberFormat="1" applyFont="1" applyBorder="1" applyAlignment="1">
      <alignment horizontal="center" vertical="center" wrapText="1"/>
    </xf>
    <xf numFmtId="0" fontId="21" fillId="19" borderId="10" xfId="38" applyFont="1" applyFill="1" applyBorder="1" applyAlignment="1">
      <alignment horizontal="center" vertical="center" wrapText="1"/>
    </xf>
    <xf numFmtId="0" fontId="21" fillId="19" borderId="10" xfId="38" applyFont="1" applyFill="1" applyBorder="1" applyAlignment="1">
      <alignment horizontal="left" vertical="center" wrapText="1"/>
    </xf>
    <xf numFmtId="10" fontId="21" fillId="19" borderId="10" xfId="38" applyNumberFormat="1" applyFont="1" applyFill="1" applyBorder="1" applyAlignment="1">
      <alignment horizontal="center" vertical="center" wrapText="1"/>
    </xf>
    <xf numFmtId="44" fontId="21" fillId="19" borderId="10" xfId="38" applyNumberFormat="1" applyFont="1" applyFill="1" applyBorder="1" applyAlignment="1">
      <alignment horizontal="center" vertical="center" wrapText="1"/>
    </xf>
    <xf numFmtId="0" fontId="21" fillId="19" borderId="36" xfId="38" applyFont="1" applyFill="1" applyBorder="1" applyAlignment="1">
      <alignment horizontal="center" vertical="center" wrapText="1"/>
    </xf>
    <xf numFmtId="0" fontId="21" fillId="19" borderId="36" xfId="38" applyFont="1" applyFill="1" applyBorder="1" applyAlignment="1">
      <alignment horizontal="left" vertical="center" wrapText="1"/>
    </xf>
    <xf numFmtId="10" fontId="21" fillId="19" borderId="36" xfId="38" applyNumberFormat="1" applyFont="1" applyFill="1" applyBorder="1" applyAlignment="1">
      <alignment horizontal="center" vertical="center" wrapText="1"/>
    </xf>
    <xf numFmtId="44" fontId="21" fillId="19" borderId="36" xfId="38" applyNumberFormat="1" applyFont="1" applyFill="1" applyBorder="1" applyAlignment="1">
      <alignment horizontal="center" vertical="center" wrapText="1"/>
    </xf>
    <xf numFmtId="0" fontId="23" fillId="23" borderId="16" xfId="38" applyFont="1" applyFill="1" applyBorder="1" applyAlignment="1">
      <alignment vertical="center" wrapText="1"/>
    </xf>
    <xf numFmtId="0" fontId="39" fillId="23" borderId="16" xfId="38" applyFont="1" applyFill="1" applyBorder="1" applyAlignment="1">
      <alignment horizontal="right" vertical="center" wrapText="1"/>
    </xf>
    <xf numFmtId="10" fontId="23" fillId="23" borderId="16" xfId="38" applyNumberFormat="1" applyFont="1" applyFill="1" applyBorder="1" applyAlignment="1">
      <alignment horizontal="center" vertical="center" wrapText="1"/>
    </xf>
    <xf numFmtId="44" fontId="39" fillId="23" borderId="16" xfId="38" applyNumberFormat="1" applyFont="1" applyFill="1" applyBorder="1" applyAlignment="1">
      <alignment horizontal="center" vertical="center" wrapText="1"/>
    </xf>
    <xf numFmtId="44" fontId="21" fillId="0" borderId="10" xfId="38" applyNumberFormat="1" applyFont="1" applyBorder="1" applyAlignment="1">
      <alignment horizontal="center" vertical="center" wrapText="1"/>
    </xf>
    <xf numFmtId="0" fontId="21" fillId="0" borderId="2" xfId="37" applyFont="1" applyBorder="1" applyAlignment="1">
      <alignment horizontal="center" vertical="center" wrapText="1"/>
    </xf>
    <xf numFmtId="0" fontId="21" fillId="0" borderId="2" xfId="37" applyFont="1" applyBorder="1" applyAlignment="1">
      <alignment horizontal="left" vertical="center" wrapText="1"/>
    </xf>
    <xf numFmtId="0" fontId="23" fillId="0" borderId="36" xfId="37" applyFont="1" applyBorder="1" applyAlignment="1">
      <alignment horizontal="left" vertical="center" wrapText="1"/>
    </xf>
    <xf numFmtId="167" fontId="21" fillId="0" borderId="36" xfId="38" applyNumberFormat="1" applyFont="1" applyBorder="1" applyAlignment="1">
      <alignment horizontal="center" vertical="center" wrapText="1"/>
    </xf>
    <xf numFmtId="0" fontId="21" fillId="0" borderId="16" xfId="38" applyFont="1" applyBorder="1" applyAlignment="1">
      <alignment horizontal="center" vertical="center" wrapText="1"/>
    </xf>
    <xf numFmtId="0" fontId="23" fillId="0" borderId="16" xfId="37" applyFont="1" applyBorder="1" applyAlignment="1">
      <alignment horizontal="left" vertical="center" wrapText="1"/>
    </xf>
    <xf numFmtId="167" fontId="21" fillId="0" borderId="16" xfId="38" applyNumberFormat="1" applyFont="1" applyBorder="1" applyAlignment="1">
      <alignment horizontal="center" vertical="center" wrapText="1"/>
    </xf>
    <xf numFmtId="0" fontId="23" fillId="5" borderId="2" xfId="38" applyFont="1" applyFill="1" applyBorder="1" applyAlignment="1">
      <alignment horizontal="right" vertical="center" wrapText="1"/>
    </xf>
    <xf numFmtId="10" fontId="23" fillId="5" borderId="2" xfId="38" applyNumberFormat="1" applyFont="1" applyFill="1" applyBorder="1" applyAlignment="1">
      <alignment horizontal="center" vertical="center" wrapText="1"/>
    </xf>
    <xf numFmtId="44" fontId="23" fillId="5" borderId="2" xfId="38" applyNumberFormat="1" applyFont="1" applyFill="1" applyBorder="1" applyAlignment="1">
      <alignment horizontal="center" vertical="center" wrapText="1"/>
    </xf>
    <xf numFmtId="0" fontId="21" fillId="19" borderId="2" xfId="37" applyFont="1" applyFill="1" applyBorder="1" applyAlignment="1">
      <alignment horizontal="left" vertical="center" wrapText="1"/>
    </xf>
    <xf numFmtId="0" fontId="21" fillId="0" borderId="10" xfId="37" applyFont="1" applyBorder="1" applyAlignment="1">
      <alignment horizontal="left" vertical="center" wrapText="1"/>
    </xf>
    <xf numFmtId="4" fontId="40" fillId="0" borderId="0" xfId="38" applyNumberFormat="1" applyFont="1" applyAlignment="1">
      <alignment horizontal="center" vertical="center" wrapText="1"/>
    </xf>
    <xf numFmtId="0" fontId="21" fillId="19" borderId="36" xfId="37" applyFont="1" applyFill="1" applyBorder="1" applyAlignment="1">
      <alignment horizontal="left" vertical="center" wrapText="1"/>
    </xf>
    <xf numFmtId="0" fontId="21" fillId="19" borderId="16" xfId="38" applyFont="1" applyFill="1" applyBorder="1" applyAlignment="1">
      <alignment horizontal="center" vertical="center" wrapText="1"/>
    </xf>
    <xf numFmtId="0" fontId="21" fillId="19" borderId="16" xfId="37" applyFont="1" applyFill="1" applyBorder="1" applyAlignment="1">
      <alignment horizontal="left" vertical="center" wrapText="1"/>
    </xf>
    <xf numFmtId="10" fontId="21" fillId="19" borderId="16" xfId="38" applyNumberFormat="1" applyFont="1" applyFill="1" applyBorder="1" applyAlignment="1">
      <alignment horizontal="center" vertical="center" wrapText="1"/>
    </xf>
    <xf numFmtId="44" fontId="21" fillId="19" borderId="16" xfId="38" applyNumberFormat="1" applyFont="1" applyFill="1" applyBorder="1" applyAlignment="1">
      <alignment horizontal="center" vertical="center" wrapText="1"/>
    </xf>
    <xf numFmtId="4" fontId="41" fillId="0" borderId="0" xfId="38" applyNumberFormat="1" applyFont="1" applyAlignment="1">
      <alignment wrapText="1"/>
    </xf>
    <xf numFmtId="0" fontId="21" fillId="19" borderId="10" xfId="37" applyFont="1" applyFill="1" applyBorder="1" applyAlignment="1">
      <alignment horizontal="left" vertical="center" wrapText="1"/>
    </xf>
    <xf numFmtId="0" fontId="34" fillId="5" borderId="16" xfId="38" applyFont="1" applyFill="1" applyBorder="1" applyAlignment="1">
      <alignment horizontal="center" vertical="center" wrapText="1"/>
    </xf>
    <xf numFmtId="0" fontId="21" fillId="5" borderId="16" xfId="38" applyFont="1" applyFill="1" applyBorder="1" applyAlignment="1">
      <alignment horizontal="right" vertical="center" wrapText="1"/>
    </xf>
    <xf numFmtId="10" fontId="21" fillId="5" borderId="16" xfId="38" applyNumberFormat="1" applyFont="1" applyFill="1" applyBorder="1" applyAlignment="1">
      <alignment horizontal="center" vertical="center" wrapText="1"/>
    </xf>
    <xf numFmtId="44" fontId="21" fillId="5" borderId="16" xfId="38" applyNumberFormat="1" applyFont="1" applyFill="1" applyBorder="1" applyAlignment="1">
      <alignment horizontal="center" vertical="center" wrapText="1"/>
    </xf>
    <xf numFmtId="10" fontId="22" fillId="14" borderId="2" xfId="38" applyNumberFormat="1" applyFont="1" applyFill="1" applyBorder="1" applyAlignment="1">
      <alignment horizontal="center" vertical="center" wrapText="1"/>
    </xf>
    <xf numFmtId="44" fontId="42" fillId="14" borderId="2" xfId="38" applyNumberFormat="1" applyFont="1" applyFill="1" applyBorder="1" applyAlignment="1">
      <alignment horizontal="center" vertical="center" wrapText="1"/>
    </xf>
    <xf numFmtId="44" fontId="1" fillId="0" borderId="0" xfId="38" applyNumberFormat="1"/>
    <xf numFmtId="0" fontId="1" fillId="0" borderId="2" xfId="38" applyBorder="1"/>
    <xf numFmtId="44" fontId="21" fillId="0" borderId="2" xfId="37" applyNumberFormat="1" applyFont="1" applyBorder="1" applyAlignment="1">
      <alignment horizontal="center" vertical="center" wrapText="1"/>
    </xf>
    <xf numFmtId="10" fontId="22" fillId="5" borderId="2" xfId="38" applyNumberFormat="1" applyFont="1" applyFill="1" applyBorder="1" applyAlignment="1">
      <alignment horizontal="center" vertical="center" wrapText="1"/>
    </xf>
    <xf numFmtId="44" fontId="22" fillId="5" borderId="2" xfId="38" applyNumberFormat="1" applyFont="1" applyFill="1" applyBorder="1" applyAlignment="1">
      <alignment horizontal="center" vertical="center" wrapText="1"/>
    </xf>
    <xf numFmtId="0" fontId="92" fillId="3" borderId="10" xfId="40" applyFont="1" applyFill="1" applyBorder="1" applyAlignment="1">
      <alignment horizontal="center" vertical="center"/>
    </xf>
    <xf numFmtId="0" fontId="93" fillId="0" borderId="0" xfId="40" applyFont="1"/>
    <xf numFmtId="44" fontId="93" fillId="0" borderId="0" xfId="40" applyNumberFormat="1" applyFont="1"/>
    <xf numFmtId="0" fontId="94" fillId="0" borderId="2" xfId="37" applyFont="1" applyBorder="1" applyAlignment="1">
      <alignment horizontal="center" vertical="center" wrapText="1"/>
    </xf>
    <xf numFmtId="0" fontId="21" fillId="0" borderId="0" xfId="38" applyFont="1" applyAlignment="1">
      <alignment horizontal="center" vertical="center" wrapText="1"/>
    </xf>
    <xf numFmtId="0" fontId="21" fillId="0" borderId="0" xfId="38" applyFont="1" applyAlignment="1">
      <alignment horizontal="left" vertical="center" wrapText="1"/>
    </xf>
    <xf numFmtId="10" fontId="21" fillId="0" borderId="0" xfId="38" applyNumberFormat="1" applyFont="1" applyAlignment="1">
      <alignment horizontal="center" vertical="center" wrapText="1"/>
    </xf>
    <xf numFmtId="44" fontId="21" fillId="0" borderId="0" xfId="38" applyNumberFormat="1" applyFont="1" applyAlignment="1">
      <alignment horizontal="center" vertical="center" wrapText="1"/>
    </xf>
    <xf numFmtId="0" fontId="30" fillId="27" borderId="2" xfId="5" applyFont="1" applyFill="1" applyBorder="1" applyAlignment="1" applyProtection="1">
      <alignment horizontal="center" vertical="center"/>
      <protection locked="0"/>
    </xf>
    <xf numFmtId="44" fontId="30" fillId="27" borderId="2" xfId="5" applyNumberFormat="1" applyFont="1" applyFill="1" applyBorder="1" applyAlignment="1" applyProtection="1">
      <alignment horizontal="center" vertical="center"/>
      <protection locked="0"/>
    </xf>
    <xf numFmtId="0" fontId="97" fillId="0" borderId="2" xfId="5" applyFont="1" applyBorder="1" applyAlignment="1">
      <alignment horizontal="center" vertical="center" wrapText="1"/>
    </xf>
    <xf numFmtId="0" fontId="13" fillId="0" borderId="0" xfId="2"/>
    <xf numFmtId="44" fontId="29" fillId="0" borderId="3" xfId="5" applyNumberFormat="1" applyFont="1" applyBorder="1" applyAlignment="1" applyProtection="1">
      <alignment horizontal="center" vertical="center"/>
      <protection locked="0"/>
    </xf>
    <xf numFmtId="44" fontId="14" fillId="0" borderId="24" xfId="5" applyNumberFormat="1" applyFont="1" applyBorder="1" applyAlignment="1" applyProtection="1">
      <alignment horizontal="center" vertical="center"/>
      <protection locked="0"/>
    </xf>
    <xf numFmtId="44" fontId="70" fillId="0" borderId="3" xfId="5" applyNumberFormat="1" applyFont="1" applyBorder="1" applyAlignment="1" applyProtection="1">
      <alignment horizontal="center" vertical="center"/>
      <protection locked="0"/>
    </xf>
    <xf numFmtId="0" fontId="10" fillId="8" borderId="2" xfId="5" applyFont="1" applyFill="1" applyBorder="1" applyAlignment="1">
      <alignment horizontal="center" vertical="center"/>
    </xf>
    <xf numFmtId="0" fontId="88" fillId="0" borderId="3" xfId="5" applyFont="1" applyBorder="1" applyAlignment="1">
      <alignment horizontal="right" vertical="center" wrapText="1"/>
    </xf>
    <xf numFmtId="0" fontId="88" fillId="0" borderId="0" xfId="5" applyFont="1" applyAlignment="1">
      <alignment horizontal="right" vertical="center" wrapText="1"/>
    </xf>
    <xf numFmtId="0" fontId="5" fillId="7" borderId="2" xfId="0" applyFont="1" applyFill="1" applyBorder="1" applyAlignment="1">
      <alignment horizontal="center" vertical="center"/>
    </xf>
    <xf numFmtId="0" fontId="15" fillId="0" borderId="2" xfId="29" applyFont="1" applyBorder="1" applyAlignment="1">
      <alignment horizontal="center" vertical="center" wrapText="1"/>
    </xf>
    <xf numFmtId="44" fontId="8" fillId="0" borderId="16" xfId="29" applyNumberFormat="1" applyFont="1" applyBorder="1" applyAlignment="1">
      <alignment horizontal="center" vertical="center"/>
    </xf>
    <xf numFmtId="0" fontId="89" fillId="0" borderId="3" xfId="5" applyFont="1" applyBorder="1" applyAlignment="1">
      <alignment vertical="center" wrapText="1"/>
    </xf>
    <xf numFmtId="0" fontId="89" fillId="0" borderId="0" xfId="5" applyFont="1" applyAlignment="1">
      <alignment vertical="center" wrapText="1"/>
    </xf>
    <xf numFmtId="0" fontId="10" fillId="18" borderId="2" xfId="5" applyFont="1" applyFill="1" applyBorder="1" applyAlignment="1">
      <alignment horizontal="center" vertical="center"/>
    </xf>
    <xf numFmtId="0" fontId="102" fillId="0" borderId="2" xfId="0" applyFont="1" applyBorder="1" applyAlignment="1">
      <alignment horizontal="center" vertical="center" wrapText="1"/>
    </xf>
    <xf numFmtId="0" fontId="103" fillId="0" borderId="2" xfId="0" applyFont="1" applyBorder="1" applyAlignment="1">
      <alignment horizontal="center" vertical="center" wrapText="1"/>
    </xf>
    <xf numFmtId="44" fontId="104" fillId="8" borderId="16" xfId="5" applyNumberFormat="1" applyFont="1" applyFill="1" applyBorder="1" applyAlignment="1" applyProtection="1">
      <alignment horizontal="center" vertical="center" wrapText="1"/>
      <protection locked="0"/>
    </xf>
    <xf numFmtId="0" fontId="10" fillId="15" borderId="11" xfId="29" applyFont="1" applyFill="1" applyBorder="1" applyAlignment="1">
      <alignment horizontal="center" vertical="center"/>
    </xf>
    <xf numFmtId="0" fontId="10" fillId="15" borderId="24" xfId="29" applyFont="1" applyFill="1" applyBorder="1" applyAlignment="1">
      <alignment horizontal="center" vertical="center"/>
    </xf>
    <xf numFmtId="0" fontId="10" fillId="15" borderId="13" xfId="29" applyFont="1" applyFill="1" applyBorder="1" applyAlignment="1">
      <alignment horizontal="center" vertical="center"/>
    </xf>
    <xf numFmtId="0" fontId="8" fillId="0" borderId="2" xfId="5" applyFont="1" applyBorder="1" applyAlignment="1">
      <alignment horizontal="justify" vertical="center" wrapText="1"/>
    </xf>
    <xf numFmtId="0" fontId="67" fillId="18" borderId="2" xfId="9" applyFont="1" applyFill="1" applyBorder="1" applyAlignment="1">
      <alignment horizontal="center" vertical="center" wrapText="1"/>
    </xf>
    <xf numFmtId="0" fontId="89" fillId="0" borderId="11" xfId="5" applyFont="1" applyBorder="1" applyAlignment="1">
      <alignment horizontal="justify" vertical="center" wrapText="1"/>
    </xf>
    <xf numFmtId="0" fontId="89" fillId="0" borderId="24" xfId="5" applyFont="1" applyBorder="1" applyAlignment="1">
      <alignment horizontal="justify" vertical="center" wrapText="1"/>
    </xf>
    <xf numFmtId="0" fontId="59" fillId="10" borderId="2" xfId="0" applyFont="1" applyFill="1" applyBorder="1" applyAlignment="1">
      <alignment horizontal="center"/>
    </xf>
    <xf numFmtId="0" fontId="15" fillId="34" borderId="11" xfId="20" applyFont="1" applyFill="1" applyBorder="1" applyAlignment="1">
      <alignment horizontal="center" vertical="center" wrapText="1"/>
    </xf>
    <xf numFmtId="0" fontId="15" fillId="34" borderId="24" xfId="20" applyFont="1" applyFill="1" applyBorder="1" applyAlignment="1">
      <alignment horizontal="center" vertical="center" wrapText="1"/>
    </xf>
    <xf numFmtId="0" fontId="15" fillId="34" borderId="13" xfId="20" applyFont="1" applyFill="1" applyBorder="1" applyAlignment="1">
      <alignment horizontal="center" vertical="center" wrapText="1"/>
    </xf>
    <xf numFmtId="0" fontId="27" fillId="26" borderId="2" xfId="6" applyFont="1" applyFill="1" applyBorder="1" applyAlignment="1">
      <alignment horizontal="center" vertical="center" textRotation="90"/>
    </xf>
    <xf numFmtId="0" fontId="27" fillId="26" borderId="27" xfId="6" applyFont="1" applyFill="1" applyBorder="1" applyAlignment="1">
      <alignment horizontal="center" vertical="center"/>
    </xf>
    <xf numFmtId="0" fontId="27" fillId="26" borderId="28" xfId="6" applyFont="1" applyFill="1" applyBorder="1" applyAlignment="1">
      <alignment horizontal="center" vertical="center"/>
    </xf>
    <xf numFmtId="0" fontId="27" fillId="26" borderId="29" xfId="6" applyFont="1" applyFill="1" applyBorder="1" applyAlignment="1">
      <alignment horizontal="center" vertical="center"/>
    </xf>
    <xf numFmtId="0" fontId="27" fillId="26" borderId="30" xfId="6" applyFont="1" applyFill="1" applyBorder="1" applyAlignment="1">
      <alignment horizontal="center" vertical="center"/>
    </xf>
    <xf numFmtId="2" fontId="18" fillId="0" borderId="2" xfId="0" applyNumberFormat="1" applyFont="1" applyBorder="1" applyAlignment="1">
      <alignment horizontal="justify" vertical="center" wrapText="1"/>
    </xf>
    <xf numFmtId="0" fontId="19" fillId="35" borderId="2" xfId="0" applyFont="1" applyFill="1" applyBorder="1" applyAlignment="1">
      <alignment horizontal="center" vertical="center" wrapText="1"/>
    </xf>
    <xf numFmtId="0" fontId="19" fillId="0" borderId="11" xfId="7" applyFont="1" applyBorder="1" applyAlignment="1">
      <alignment horizontal="center" vertical="center"/>
    </xf>
    <xf numFmtId="0" fontId="19" fillId="0" borderId="13" xfId="7" applyFont="1" applyBorder="1" applyAlignment="1">
      <alignment horizontal="center" vertical="center"/>
    </xf>
    <xf numFmtId="0" fontId="19" fillId="0" borderId="24" xfId="7" applyFont="1" applyBorder="1" applyAlignment="1">
      <alignment horizontal="center" vertical="center"/>
    </xf>
    <xf numFmtId="44" fontId="18" fillId="0" borderId="11" xfId="7" applyNumberFormat="1" applyFont="1" applyBorder="1" applyAlignment="1">
      <alignment horizontal="center" vertical="center"/>
    </xf>
    <xf numFmtId="44" fontId="18" fillId="0" borderId="13" xfId="7" applyNumberFormat="1" applyFont="1" applyBorder="1" applyAlignment="1">
      <alignment horizontal="center" vertical="center"/>
    </xf>
    <xf numFmtId="0" fontId="18" fillId="0" borderId="11" xfId="7" applyFont="1" applyBorder="1" applyAlignment="1">
      <alignment horizontal="center" vertical="center"/>
    </xf>
    <xf numFmtId="0" fontId="18" fillId="0" borderId="24" xfId="7" applyFont="1" applyBorder="1" applyAlignment="1">
      <alignment horizontal="center" vertical="center"/>
    </xf>
    <xf numFmtId="0" fontId="18" fillId="0" borderId="13" xfId="7" applyFont="1" applyBorder="1" applyAlignment="1">
      <alignment horizontal="center" vertical="center"/>
    </xf>
    <xf numFmtId="0" fontId="12" fillId="0" borderId="11" xfId="19" applyFont="1" applyBorder="1" applyAlignment="1">
      <alignment horizontal="center" vertical="center" wrapText="1"/>
    </xf>
    <xf numFmtId="0" fontId="12" fillId="0" borderId="24" xfId="19" applyFont="1" applyBorder="1" applyAlignment="1">
      <alignment horizontal="center" vertical="center" wrapText="1"/>
    </xf>
    <xf numFmtId="0" fontId="12" fillId="0" borderId="13" xfId="19" applyFont="1" applyBorder="1" applyAlignment="1">
      <alignment horizontal="center" vertical="center" wrapText="1"/>
    </xf>
    <xf numFmtId="2" fontId="18" fillId="13" borderId="2" xfId="0" applyNumberFormat="1" applyFont="1" applyFill="1" applyBorder="1" applyAlignment="1">
      <alignment horizontal="justify" vertical="center" wrapText="1"/>
    </xf>
    <xf numFmtId="0" fontId="19" fillId="20" borderId="2" xfId="0" applyFont="1" applyFill="1" applyBorder="1" applyAlignment="1">
      <alignment horizontal="center" vertical="center" wrapText="1"/>
    </xf>
    <xf numFmtId="2" fontId="18" fillId="13" borderId="2" xfId="0" applyNumberFormat="1" applyFont="1" applyFill="1" applyBorder="1" applyAlignment="1">
      <alignment horizontal="center" vertical="center" wrapText="1"/>
    </xf>
    <xf numFmtId="44" fontId="18" fillId="13" borderId="2" xfId="3" applyFont="1" applyFill="1" applyBorder="1" applyAlignment="1">
      <alignment horizontal="center" vertical="center" wrapText="1"/>
    </xf>
    <xf numFmtId="0" fontId="14" fillId="25" borderId="27" xfId="21" applyNumberFormat="1" applyFont="1" applyFill="1" applyBorder="1" applyAlignment="1">
      <alignment horizontal="center" vertical="center"/>
    </xf>
    <xf numFmtId="0" fontId="14" fillId="25" borderId="28" xfId="21" applyNumberFormat="1" applyFont="1" applyFill="1" applyBorder="1" applyAlignment="1">
      <alignment horizontal="center" vertical="center"/>
    </xf>
    <xf numFmtId="0" fontId="14" fillId="0" borderId="11" xfId="21" applyNumberFormat="1" applyFont="1" applyFill="1" applyBorder="1" applyAlignment="1">
      <alignment horizontal="left" vertical="center"/>
    </xf>
    <xf numFmtId="0" fontId="14" fillId="0" borderId="24" xfId="21" applyNumberFormat="1" applyFont="1" applyFill="1" applyBorder="1" applyAlignment="1">
      <alignment horizontal="left" vertical="center"/>
    </xf>
    <xf numFmtId="0" fontId="14" fillId="0" borderId="13" xfId="21" applyNumberFormat="1" applyFont="1" applyFill="1" applyBorder="1" applyAlignment="1">
      <alignment horizontal="left" vertical="center"/>
    </xf>
    <xf numFmtId="0" fontId="15" fillId="14" borderId="2" xfId="14" applyNumberFormat="1" applyFont="1" applyFill="1" applyBorder="1" applyAlignment="1">
      <alignment horizontal="center" vertical="center"/>
    </xf>
    <xf numFmtId="0" fontId="15" fillId="14" borderId="2" xfId="21" applyNumberFormat="1" applyFont="1" applyFill="1" applyBorder="1" applyAlignment="1">
      <alignment horizontal="center" vertical="center"/>
    </xf>
    <xf numFmtId="0" fontId="15" fillId="14" borderId="2" xfId="12" applyFont="1" applyFill="1" applyBorder="1" applyAlignment="1">
      <alignment horizontal="center" vertical="center"/>
    </xf>
    <xf numFmtId="49" fontId="12" fillId="0" borderId="11" xfId="6" applyNumberFormat="1" applyFont="1" applyBorder="1" applyAlignment="1">
      <alignment horizontal="center" vertical="center"/>
    </xf>
    <xf numFmtId="49" fontId="12" fillId="0" borderId="13" xfId="6" applyNumberFormat="1" applyFont="1" applyBorder="1" applyAlignment="1">
      <alignment horizontal="center" vertical="center"/>
    </xf>
    <xf numFmtId="0" fontId="12" fillId="0" borderId="11" xfId="6" applyFont="1" applyBorder="1" applyAlignment="1">
      <alignment horizontal="center" vertical="center"/>
    </xf>
    <xf numFmtId="0" fontId="12" fillId="0" borderId="13" xfId="6" applyFont="1" applyBorder="1" applyAlignment="1">
      <alignment horizontal="center" vertical="center"/>
    </xf>
    <xf numFmtId="0" fontId="12" fillId="0" borderId="24" xfId="6" applyFont="1" applyBorder="1" applyAlignment="1">
      <alignment horizontal="center" vertical="center"/>
    </xf>
    <xf numFmtId="0" fontId="47" fillId="0" borderId="2" xfId="12" applyFont="1" applyBorder="1" applyAlignment="1">
      <alignment horizontal="justify" vertical="center" wrapText="1"/>
    </xf>
    <xf numFmtId="0" fontId="47" fillId="0" borderId="2" xfId="13" applyFont="1" applyBorder="1" applyAlignment="1">
      <alignment horizontal="justify" vertical="center"/>
    </xf>
    <xf numFmtId="10" fontId="47" fillId="0" borderId="2" xfId="14" applyNumberFormat="1" applyFont="1" applyFill="1" applyBorder="1" applyAlignment="1">
      <alignment horizontal="center" vertical="center" shrinkToFit="1"/>
    </xf>
    <xf numFmtId="0" fontId="47" fillId="0" borderId="2" xfId="13" applyFont="1" applyBorder="1" applyAlignment="1">
      <alignment horizontal="center" vertical="center" shrinkToFit="1"/>
    </xf>
    <xf numFmtId="0" fontId="15" fillId="36" borderId="2" xfId="12" applyFont="1" applyFill="1" applyBorder="1" applyAlignment="1">
      <alignment horizontal="right" vertical="center" wrapText="1"/>
    </xf>
    <xf numFmtId="0" fontId="14" fillId="36" borderId="2" xfId="13" applyFont="1" applyFill="1" applyBorder="1" applyAlignment="1">
      <alignment horizontal="right" vertical="center"/>
    </xf>
    <xf numFmtId="10" fontId="15" fillId="36" borderId="2" xfId="14" applyNumberFormat="1" applyFont="1" applyFill="1" applyBorder="1" applyAlignment="1">
      <alignment horizontal="center" vertical="center" shrinkToFit="1"/>
    </xf>
    <xf numFmtId="0" fontId="14" fillId="36" borderId="2" xfId="13" applyFont="1" applyFill="1" applyBorder="1" applyAlignment="1">
      <alignment horizontal="center" vertical="center" shrinkToFit="1"/>
    </xf>
    <xf numFmtId="0" fontId="15" fillId="36" borderId="2" xfId="12" applyFont="1" applyFill="1" applyBorder="1" applyAlignment="1">
      <alignment horizontal="center" vertical="center" wrapText="1"/>
    </xf>
    <xf numFmtId="0" fontId="14" fillId="36" borderId="2" xfId="13" applyFont="1" applyFill="1" applyBorder="1">
      <alignment vertical="center"/>
    </xf>
    <xf numFmtId="0" fontId="14" fillId="0" borderId="11" xfId="12" applyFont="1" applyBorder="1" applyAlignment="1">
      <alignment horizontal="justify" vertical="center" wrapText="1"/>
    </xf>
    <xf numFmtId="0" fontId="14" fillId="0" borderId="24" xfId="12" applyFont="1" applyBorder="1" applyAlignment="1">
      <alignment horizontal="justify" vertical="center" wrapText="1"/>
    </xf>
    <xf numFmtId="0" fontId="14" fillId="0" borderId="13" xfId="12" applyFont="1" applyBorder="1" applyAlignment="1">
      <alignment horizontal="justify" vertical="center" wrapText="1"/>
    </xf>
    <xf numFmtId="10" fontId="12" fillId="38" borderId="11" xfId="13" applyNumberFormat="1" applyFont="1" applyFill="1" applyBorder="1" applyAlignment="1">
      <alignment horizontal="center" vertical="center" shrinkToFit="1"/>
    </xf>
    <xf numFmtId="10" fontId="12" fillId="38" borderId="24" xfId="13" applyNumberFormat="1" applyFont="1" applyFill="1" applyBorder="1" applyAlignment="1">
      <alignment horizontal="center" vertical="center" shrinkToFit="1"/>
    </xf>
    <xf numFmtId="10" fontId="12" fillId="38" borderId="13" xfId="13" applyNumberFormat="1" applyFont="1" applyFill="1" applyBorder="1" applyAlignment="1">
      <alignment horizontal="center" vertical="center" shrinkToFit="1"/>
    </xf>
    <xf numFmtId="10" fontId="14" fillId="38" borderId="24" xfId="13" applyNumberFormat="1" applyFont="1" applyFill="1" applyBorder="1" applyAlignment="1">
      <alignment horizontal="center" vertical="center"/>
    </xf>
    <xf numFmtId="10" fontId="12" fillId="0" borderId="11" xfId="13" applyNumberFormat="1" applyFont="1" applyBorder="1" applyAlignment="1">
      <alignment horizontal="center" vertical="center" shrinkToFit="1"/>
    </xf>
    <xf numFmtId="10" fontId="12" fillId="0" borderId="24" xfId="13" applyNumberFormat="1" applyFont="1" applyBorder="1" applyAlignment="1">
      <alignment horizontal="center" vertical="center" shrinkToFit="1"/>
    </xf>
    <xf numFmtId="10" fontId="12" fillId="0" borderId="13" xfId="13" applyNumberFormat="1" applyFont="1" applyBorder="1" applyAlignment="1">
      <alignment horizontal="center" vertical="center" shrinkToFit="1"/>
    </xf>
    <xf numFmtId="0" fontId="52" fillId="37" borderId="11" xfId="12" applyFont="1" applyFill="1" applyBorder="1" applyAlignment="1">
      <alignment horizontal="right" vertical="center"/>
    </xf>
    <xf numFmtId="0" fontId="52" fillId="37" borderId="24" xfId="12" applyFont="1" applyFill="1" applyBorder="1" applyAlignment="1">
      <alignment horizontal="right" vertical="center"/>
    </xf>
    <xf numFmtId="0" fontId="52" fillId="37" borderId="13" xfId="12" applyFont="1" applyFill="1" applyBorder="1" applyAlignment="1">
      <alignment horizontal="right" vertical="center"/>
    </xf>
    <xf numFmtId="10" fontId="52" fillId="37" borderId="11" xfId="12" applyNumberFormat="1" applyFont="1" applyFill="1" applyBorder="1" applyAlignment="1">
      <alignment horizontal="center" vertical="center" shrinkToFit="1"/>
    </xf>
    <xf numFmtId="10" fontId="52" fillId="37" borderId="24" xfId="12" applyNumberFormat="1" applyFont="1" applyFill="1" applyBorder="1" applyAlignment="1">
      <alignment horizontal="center" vertical="center" shrinkToFit="1"/>
    </xf>
    <xf numFmtId="10" fontId="52" fillId="37" borderId="13" xfId="12" applyNumberFormat="1" applyFont="1" applyFill="1" applyBorder="1" applyAlignment="1">
      <alignment horizontal="center" vertical="center" shrinkToFit="1"/>
    </xf>
    <xf numFmtId="0" fontId="14" fillId="0" borderId="10" xfId="12" applyFont="1" applyBorder="1" applyAlignment="1">
      <alignment horizontal="center" vertical="center"/>
    </xf>
    <xf numFmtId="0" fontId="14" fillId="0" borderId="32" xfId="12" applyFont="1" applyBorder="1" applyAlignment="1">
      <alignment horizontal="center" vertical="center"/>
    </xf>
    <xf numFmtId="0" fontId="14" fillId="0" borderId="16" xfId="12" applyFont="1" applyBorder="1" applyAlignment="1">
      <alignment horizontal="center" vertical="center"/>
    </xf>
    <xf numFmtId="0" fontId="14" fillId="0" borderId="27" xfId="12" applyFont="1" applyBorder="1">
      <alignment vertical="center"/>
    </xf>
    <xf numFmtId="0" fontId="14" fillId="0" borderId="17" xfId="12" applyFont="1" applyBorder="1">
      <alignment vertical="center"/>
    </xf>
    <xf numFmtId="0" fontId="14" fillId="0" borderId="28" xfId="12" applyFont="1" applyBorder="1">
      <alignment vertical="center"/>
    </xf>
    <xf numFmtId="0" fontId="14" fillId="0" borderId="3" xfId="12" applyFont="1" applyBorder="1">
      <alignment vertical="center"/>
    </xf>
    <xf numFmtId="0" fontId="14" fillId="0" borderId="0" xfId="12" applyFont="1">
      <alignment vertical="center"/>
    </xf>
    <xf numFmtId="0" fontId="14" fillId="0" borderId="35" xfId="12" applyFont="1" applyBorder="1">
      <alignment vertical="center"/>
    </xf>
    <xf numFmtId="0" fontId="14" fillId="0" borderId="29" xfId="12" applyFont="1" applyBorder="1">
      <alignment vertical="center"/>
    </xf>
    <xf numFmtId="0" fontId="14" fillId="0" borderId="1" xfId="12" applyFont="1" applyBorder="1">
      <alignment vertical="center"/>
    </xf>
    <xf numFmtId="0" fontId="14" fillId="0" borderId="30" xfId="12" applyFont="1" applyBorder="1">
      <alignment vertical="center"/>
    </xf>
    <xf numFmtId="0" fontId="14" fillId="0" borderId="27" xfId="16" applyNumberFormat="1" applyFont="1" applyFill="1" applyBorder="1" applyAlignment="1">
      <alignment horizontal="justify" vertical="center" wrapText="1"/>
    </xf>
    <xf numFmtId="0" fontId="14" fillId="0" borderId="17" xfId="16" applyNumberFormat="1" applyFont="1" applyFill="1" applyBorder="1" applyAlignment="1">
      <alignment horizontal="justify" vertical="center" wrapText="1"/>
    </xf>
    <xf numFmtId="0" fontId="14" fillId="0" borderId="28" xfId="16" applyNumberFormat="1" applyFont="1" applyFill="1" applyBorder="1" applyAlignment="1">
      <alignment horizontal="justify" vertical="center" wrapText="1"/>
    </xf>
    <xf numFmtId="0" fontId="14" fillId="0" borderId="3" xfId="16" applyNumberFormat="1" applyFont="1" applyFill="1" applyBorder="1" applyAlignment="1">
      <alignment horizontal="justify" vertical="center" wrapText="1"/>
    </xf>
    <xf numFmtId="0" fontId="14" fillId="0" borderId="0" xfId="16" applyNumberFormat="1" applyFont="1" applyFill="1" applyBorder="1" applyAlignment="1">
      <alignment horizontal="justify" vertical="center" wrapText="1"/>
    </xf>
    <xf numFmtId="0" fontId="14" fillId="0" borderId="35" xfId="16" applyNumberFormat="1" applyFont="1" applyFill="1" applyBorder="1" applyAlignment="1">
      <alignment horizontal="justify" vertical="center" wrapText="1"/>
    </xf>
    <xf numFmtId="10" fontId="12" fillId="0" borderId="27" xfId="14" applyNumberFormat="1" applyFont="1" applyFill="1" applyBorder="1" applyAlignment="1">
      <alignment horizontal="center" vertical="center" shrinkToFit="1"/>
    </xf>
    <xf numFmtId="0" fontId="12" fillId="0" borderId="17" xfId="13" applyFont="1" applyBorder="1" applyAlignment="1">
      <alignment horizontal="center" vertical="center" shrinkToFit="1"/>
    </xf>
    <xf numFmtId="0" fontId="12" fillId="0" borderId="28" xfId="13" applyFont="1" applyBorder="1" applyAlignment="1">
      <alignment horizontal="center" vertical="center" shrinkToFit="1"/>
    </xf>
    <xf numFmtId="10" fontId="12" fillId="0" borderId="3" xfId="14" applyNumberFormat="1" applyFont="1" applyFill="1" applyBorder="1" applyAlignment="1">
      <alignment horizontal="center" vertical="center" shrinkToFit="1"/>
    </xf>
    <xf numFmtId="0" fontId="12" fillId="0" borderId="0" xfId="13" applyFont="1" applyAlignment="1">
      <alignment horizontal="center" vertical="center" shrinkToFit="1"/>
    </xf>
    <xf numFmtId="0" fontId="12" fillId="0" borderId="35" xfId="13" applyFont="1" applyBorder="1" applyAlignment="1">
      <alignment horizontal="center" vertical="center" shrinkToFit="1"/>
    </xf>
    <xf numFmtId="0" fontId="12" fillId="0" borderId="29" xfId="13" applyFont="1" applyBorder="1" applyAlignment="1">
      <alignment horizontal="center" vertical="center" shrinkToFit="1"/>
    </xf>
    <xf numFmtId="0" fontId="12" fillId="0" borderId="1" xfId="13" applyFont="1" applyBorder="1" applyAlignment="1">
      <alignment horizontal="center" vertical="center" shrinkToFit="1"/>
    </xf>
    <xf numFmtId="0" fontId="12" fillId="0" borderId="30" xfId="13" applyFont="1" applyBorder="1" applyAlignment="1">
      <alignment horizontal="center" vertical="center" shrinkToFit="1"/>
    </xf>
    <xf numFmtId="0" fontId="14" fillId="0" borderId="2" xfId="12" applyFont="1" applyBorder="1" applyAlignment="1">
      <alignment horizontal="center" vertical="center"/>
    </xf>
    <xf numFmtId="0" fontId="14" fillId="0" borderId="27" xfId="12" applyFont="1" applyBorder="1" applyAlignment="1">
      <alignment horizontal="justify" vertical="center" wrapText="1"/>
    </xf>
    <xf numFmtId="0" fontId="14" fillId="0" borderId="17" xfId="13" applyFont="1" applyBorder="1" applyAlignment="1">
      <alignment horizontal="justify" vertical="center" wrapText="1"/>
    </xf>
    <xf numFmtId="0" fontId="14" fillId="0" borderId="28" xfId="13" applyFont="1" applyBorder="1" applyAlignment="1">
      <alignment horizontal="justify" vertical="center" wrapText="1"/>
    </xf>
    <xf numFmtId="0" fontId="14" fillId="0" borderId="3" xfId="12" applyFont="1" applyBorder="1" applyAlignment="1">
      <alignment horizontal="justify" vertical="center" wrapText="1"/>
    </xf>
    <xf numFmtId="0" fontId="14" fillId="0" borderId="0" xfId="13" applyFont="1" applyAlignment="1">
      <alignment horizontal="justify" vertical="center" wrapText="1"/>
    </xf>
    <xf numFmtId="0" fontId="14" fillId="0" borderId="35" xfId="13" applyFont="1" applyBorder="1" applyAlignment="1">
      <alignment horizontal="justify" vertical="center" wrapText="1"/>
    </xf>
    <xf numFmtId="0" fontId="14" fillId="0" borderId="29" xfId="13" applyFont="1" applyBorder="1" applyAlignment="1">
      <alignment horizontal="justify" vertical="center" wrapText="1"/>
    </xf>
    <xf numFmtId="0" fontId="14" fillId="0" borderId="1" xfId="13" applyFont="1" applyBorder="1" applyAlignment="1">
      <alignment horizontal="justify" vertical="center" wrapText="1"/>
    </xf>
    <xf numFmtId="0" fontId="14" fillId="0" borderId="30" xfId="13" applyFont="1" applyBorder="1" applyAlignment="1">
      <alignment horizontal="justify" vertical="center" wrapText="1"/>
    </xf>
    <xf numFmtId="0" fontId="14" fillId="0" borderId="17" xfId="12" applyFont="1" applyBorder="1" applyAlignment="1">
      <alignment horizontal="justify" vertical="center" wrapText="1"/>
    </xf>
    <xf numFmtId="0" fontId="14" fillId="0" borderId="28" xfId="12" applyFont="1" applyBorder="1" applyAlignment="1">
      <alignment horizontal="justify" vertical="center" wrapText="1"/>
    </xf>
    <xf numFmtId="0" fontId="14" fillId="0" borderId="0" xfId="12" applyFont="1" applyAlignment="1">
      <alignment horizontal="justify" vertical="center" wrapText="1"/>
    </xf>
    <xf numFmtId="0" fontId="14" fillId="0" borderId="35" xfId="12" applyFont="1" applyBorder="1" applyAlignment="1">
      <alignment horizontal="justify" vertical="center" wrapText="1"/>
    </xf>
    <xf numFmtId="10" fontId="12" fillId="0" borderId="17" xfId="14" applyNumberFormat="1" applyFont="1" applyFill="1" applyBorder="1" applyAlignment="1">
      <alignment horizontal="center" vertical="center" shrinkToFit="1"/>
    </xf>
    <xf numFmtId="10" fontId="12" fillId="0" borderId="28" xfId="14" applyNumberFormat="1" applyFont="1" applyFill="1" applyBorder="1" applyAlignment="1">
      <alignment horizontal="center" vertical="center" shrinkToFit="1"/>
    </xf>
    <xf numFmtId="10" fontId="12" fillId="0" borderId="0" xfId="14" applyNumberFormat="1" applyFont="1" applyFill="1" applyBorder="1" applyAlignment="1">
      <alignment horizontal="center" vertical="center" shrinkToFit="1"/>
    </xf>
    <xf numFmtId="10" fontId="12" fillId="0" borderId="35" xfId="14" applyNumberFormat="1" applyFont="1" applyFill="1" applyBorder="1" applyAlignment="1">
      <alignment horizontal="center" vertical="center" shrinkToFit="1"/>
    </xf>
    <xf numFmtId="10" fontId="12" fillId="0" borderId="1" xfId="14" applyNumberFormat="1" applyFont="1" applyFill="1" applyBorder="1" applyAlignment="1">
      <alignment horizontal="center" vertical="center" shrinkToFit="1"/>
    </xf>
    <xf numFmtId="10" fontId="12" fillId="0" borderId="30" xfId="14" applyNumberFormat="1" applyFont="1" applyFill="1" applyBorder="1" applyAlignment="1">
      <alignment horizontal="center" vertical="center" shrinkToFit="1"/>
    </xf>
    <xf numFmtId="10" fontId="14" fillId="38" borderId="1" xfId="14" applyNumberFormat="1" applyFont="1" applyFill="1" applyBorder="1" applyAlignment="1">
      <alignment horizontal="center" vertical="center"/>
    </xf>
    <xf numFmtId="0" fontId="14" fillId="0" borderId="10" xfId="12" applyFont="1" applyBorder="1">
      <alignment vertical="center"/>
    </xf>
    <xf numFmtId="0" fontId="14" fillId="0" borderId="10" xfId="13" applyFont="1" applyBorder="1">
      <alignment vertical="center"/>
    </xf>
    <xf numFmtId="10" fontId="12" fillId="0" borderId="2" xfId="12" applyNumberFormat="1" applyFont="1" applyBorder="1" applyAlignment="1">
      <alignment horizontal="center" vertical="center" shrinkToFit="1"/>
    </xf>
    <xf numFmtId="0" fontId="12" fillId="0" borderId="2" xfId="13" applyFont="1" applyBorder="1" applyAlignment="1">
      <alignment horizontal="center" vertical="center" shrinkToFit="1"/>
    </xf>
    <xf numFmtId="0" fontId="14" fillId="0" borderId="11" xfId="12" applyFont="1" applyBorder="1">
      <alignment vertical="center"/>
    </xf>
    <xf numFmtId="0" fontId="14" fillId="0" borderId="24" xfId="13" applyFont="1" applyBorder="1">
      <alignment vertical="center"/>
    </xf>
    <xf numFmtId="0" fontId="14" fillId="38" borderId="24" xfId="13" applyFont="1" applyFill="1" applyBorder="1" applyAlignment="1">
      <alignment horizontal="center" vertical="center"/>
    </xf>
    <xf numFmtId="10" fontId="14" fillId="38" borderId="24" xfId="13" applyNumberFormat="1" applyFont="1" applyFill="1" applyBorder="1" applyAlignment="1">
      <alignment horizontal="left" vertical="center"/>
    </xf>
    <xf numFmtId="0" fontId="14" fillId="38" borderId="13" xfId="13" applyFont="1" applyFill="1" applyBorder="1" applyAlignment="1">
      <alignment horizontal="left" vertical="center"/>
    </xf>
    <xf numFmtId="0" fontId="12" fillId="0" borderId="24" xfId="13" applyFont="1" applyBorder="1" applyAlignment="1">
      <alignment horizontal="center" vertical="center" shrinkToFit="1"/>
    </xf>
    <xf numFmtId="0" fontId="12" fillId="0" borderId="13" xfId="13" applyFont="1" applyBorder="1" applyAlignment="1">
      <alignment horizontal="center" vertical="center" shrinkToFit="1"/>
    </xf>
    <xf numFmtId="0" fontId="14" fillId="0" borderId="3" xfId="12" applyFont="1" applyBorder="1" applyAlignment="1">
      <alignment vertical="center" wrapText="1"/>
    </xf>
    <xf numFmtId="0" fontId="14" fillId="0" borderId="0" xfId="13" applyFont="1" applyAlignment="1">
      <alignment vertical="center" wrapText="1"/>
    </xf>
    <xf numFmtId="0" fontId="14" fillId="0" borderId="29" xfId="13" applyFont="1" applyBorder="1" applyAlignment="1">
      <alignment vertical="center" wrapText="1"/>
    </xf>
    <xf numFmtId="0" fontId="14" fillId="0" borderId="1" xfId="13" applyFont="1" applyBorder="1" applyAlignment="1">
      <alignment vertical="center" wrapText="1"/>
    </xf>
    <xf numFmtId="10" fontId="14" fillId="0" borderId="1" xfId="13" applyNumberFormat="1" applyFont="1" applyBorder="1">
      <alignment vertical="center"/>
    </xf>
    <xf numFmtId="0" fontId="14" fillId="0" borderId="0" xfId="13" applyFont="1">
      <alignment vertical="center"/>
    </xf>
    <xf numFmtId="0" fontId="14" fillId="0" borderId="29" xfId="13" applyFont="1" applyBorder="1">
      <alignment vertical="center"/>
    </xf>
    <xf numFmtId="0" fontId="14" fillId="0" borderId="1" xfId="13" applyFont="1" applyBorder="1">
      <alignment vertical="center"/>
    </xf>
    <xf numFmtId="0" fontId="52" fillId="37" borderId="2" xfId="12" applyFont="1" applyFill="1" applyBorder="1" applyAlignment="1">
      <alignment horizontal="right" vertical="center"/>
    </xf>
    <xf numFmtId="0" fontId="52" fillId="37" borderId="2" xfId="13" applyFont="1" applyFill="1" applyBorder="1" applyAlignment="1">
      <alignment horizontal="right" vertical="center"/>
    </xf>
    <xf numFmtId="10" fontId="52" fillId="37" borderId="2" xfId="12" applyNumberFormat="1" applyFont="1" applyFill="1" applyBorder="1" applyAlignment="1">
      <alignment horizontal="center" vertical="center" shrinkToFit="1"/>
    </xf>
    <xf numFmtId="10" fontId="52" fillId="37" borderId="2" xfId="13" applyNumberFormat="1" applyFont="1" applyFill="1" applyBorder="1" applyAlignment="1">
      <alignment horizontal="center" vertical="center" shrinkToFit="1"/>
    </xf>
    <xf numFmtId="0" fontId="15" fillId="36" borderId="11" xfId="12" applyFont="1" applyFill="1" applyBorder="1" applyAlignment="1">
      <alignment horizontal="center" vertical="center"/>
    </xf>
    <xf numFmtId="0" fontId="15" fillId="36" borderId="24" xfId="12" applyFont="1" applyFill="1" applyBorder="1" applyAlignment="1">
      <alignment horizontal="center" vertical="center"/>
    </xf>
    <xf numFmtId="0" fontId="15" fillId="36" borderId="13" xfId="12" applyFont="1" applyFill="1" applyBorder="1" applyAlignment="1">
      <alignment horizontal="center" vertical="center"/>
    </xf>
    <xf numFmtId="0" fontId="14" fillId="38" borderId="29" xfId="13" applyFont="1" applyFill="1" applyBorder="1" applyAlignment="1">
      <alignment horizontal="center" vertical="center" wrapText="1"/>
    </xf>
    <xf numFmtId="0" fontId="14" fillId="38" borderId="1" xfId="13" applyFont="1" applyFill="1" applyBorder="1" applyAlignment="1">
      <alignment horizontal="center" vertical="center" wrapText="1"/>
    </xf>
    <xf numFmtId="10" fontId="14" fillId="0" borderId="1" xfId="13" applyNumberFormat="1" applyFont="1" applyBorder="1" applyAlignment="1">
      <alignment horizontal="center" vertical="center"/>
    </xf>
    <xf numFmtId="0" fontId="14" fillId="0" borderId="2" xfId="13" applyFont="1" applyBorder="1" applyAlignment="1">
      <alignment horizontal="justify" vertical="center" wrapText="1"/>
    </xf>
    <xf numFmtId="10" fontId="14" fillId="0" borderId="27" xfId="13" applyNumberFormat="1" applyFont="1" applyBorder="1" applyAlignment="1">
      <alignment horizontal="justify" vertical="center" wrapText="1"/>
    </xf>
    <xf numFmtId="10" fontId="14" fillId="0" borderId="17" xfId="13" applyNumberFormat="1" applyFont="1" applyBorder="1" applyAlignment="1">
      <alignment horizontal="justify" vertical="center" wrapText="1"/>
    </xf>
    <xf numFmtId="10" fontId="14" fillId="0" borderId="28" xfId="13" applyNumberFormat="1" applyFont="1" applyBorder="1" applyAlignment="1">
      <alignment horizontal="justify" vertical="center" wrapText="1"/>
    </xf>
    <xf numFmtId="10" fontId="14" fillId="0" borderId="3" xfId="13" applyNumberFormat="1" applyFont="1" applyBorder="1" applyAlignment="1">
      <alignment horizontal="justify" vertical="center" wrapText="1"/>
    </xf>
    <xf numFmtId="10" fontId="14" fillId="0" borderId="0" xfId="13" applyNumberFormat="1" applyFont="1" applyAlignment="1">
      <alignment horizontal="justify" vertical="center" wrapText="1"/>
    </xf>
    <xf numFmtId="10" fontId="14" fillId="0" borderId="35" xfId="13" applyNumberFormat="1" applyFont="1" applyBorder="1" applyAlignment="1">
      <alignment horizontal="justify" vertical="center" wrapText="1"/>
    </xf>
    <xf numFmtId="10" fontId="12" fillId="0" borderId="29" xfId="14" applyNumberFormat="1" applyFont="1" applyFill="1" applyBorder="1" applyAlignment="1">
      <alignment horizontal="center" vertical="center" shrinkToFit="1"/>
    </xf>
    <xf numFmtId="10" fontId="14" fillId="38" borderId="1" xfId="18" applyNumberFormat="1" applyFont="1" applyFill="1" applyBorder="1" applyAlignment="1">
      <alignment horizontal="justify" vertical="center" wrapText="1"/>
    </xf>
    <xf numFmtId="10" fontId="14" fillId="38" borderId="29" xfId="13" applyNumberFormat="1" applyFont="1" applyFill="1" applyBorder="1" applyAlignment="1">
      <alignment horizontal="center" vertical="center" wrapText="1"/>
    </xf>
    <xf numFmtId="10" fontId="14" fillId="38" borderId="1" xfId="13" applyNumberFormat="1" applyFont="1" applyFill="1" applyBorder="1" applyAlignment="1">
      <alignment horizontal="center" vertical="center" wrapText="1"/>
    </xf>
    <xf numFmtId="10" fontId="15" fillId="38" borderId="1" xfId="18" applyNumberFormat="1" applyFont="1" applyFill="1" applyBorder="1" applyAlignment="1">
      <alignment horizontal="justify" vertical="center" wrapText="1"/>
    </xf>
    <xf numFmtId="167" fontId="12" fillId="0" borderId="11" xfId="14" applyNumberFormat="1" applyFont="1" applyFill="1" applyBorder="1" applyAlignment="1">
      <alignment horizontal="center" vertical="center" shrinkToFit="1"/>
    </xf>
    <xf numFmtId="167" fontId="12" fillId="0" borderId="24" xfId="14" applyNumberFormat="1" applyFont="1" applyFill="1" applyBorder="1" applyAlignment="1">
      <alignment horizontal="center" vertical="center" shrinkToFit="1"/>
    </xf>
    <xf numFmtId="167" fontId="12" fillId="0" borderId="13" xfId="14" applyNumberFormat="1" applyFont="1" applyFill="1" applyBorder="1" applyAlignment="1">
      <alignment horizontal="center" vertical="center" shrinkToFit="1"/>
    </xf>
    <xf numFmtId="0" fontId="14" fillId="0" borderId="27" xfId="13" applyFont="1" applyBorder="1" applyAlignment="1">
      <alignment horizontal="justify" vertical="center" wrapText="1"/>
    </xf>
    <xf numFmtId="0" fontId="14" fillId="0" borderId="3" xfId="13" applyFont="1" applyBorder="1" applyAlignment="1">
      <alignment horizontal="justify" vertical="center" wrapText="1"/>
    </xf>
    <xf numFmtId="10" fontId="14" fillId="38" borderId="3" xfId="13" applyNumberFormat="1" applyFont="1" applyFill="1" applyBorder="1" applyAlignment="1">
      <alignment horizontal="center" vertical="center" wrapText="1"/>
    </xf>
    <xf numFmtId="10" fontId="14" fillId="38" borderId="0" xfId="13" applyNumberFormat="1" applyFont="1" applyFill="1" applyAlignment="1">
      <alignment horizontal="center" vertical="center" wrapText="1"/>
    </xf>
    <xf numFmtId="10" fontId="14" fillId="38" borderId="0" xfId="18" applyNumberFormat="1" applyFont="1" applyFill="1" applyBorder="1" applyAlignment="1">
      <alignment horizontal="justify" vertical="center" wrapText="1"/>
    </xf>
    <xf numFmtId="0" fontId="15" fillId="0" borderId="11" xfId="13" applyFont="1" applyBorder="1">
      <alignment vertical="center"/>
    </xf>
    <xf numFmtId="0" fontId="15" fillId="0" borderId="24" xfId="13" applyFont="1" applyBorder="1">
      <alignment vertical="center"/>
    </xf>
    <xf numFmtId="0" fontId="15" fillId="0" borderId="13" xfId="13" applyFont="1" applyBorder="1">
      <alignment vertical="center"/>
    </xf>
    <xf numFmtId="10" fontId="5" fillId="0" borderId="11" xfId="14" applyNumberFormat="1" applyFont="1" applyFill="1" applyBorder="1" applyAlignment="1">
      <alignment horizontal="center" vertical="center" shrinkToFit="1"/>
    </xf>
    <xf numFmtId="10" fontId="5" fillId="0" borderId="24" xfId="14" applyNumberFormat="1" applyFont="1" applyFill="1" applyBorder="1" applyAlignment="1">
      <alignment horizontal="center" vertical="center" shrinkToFit="1"/>
    </xf>
    <xf numFmtId="10" fontId="5" fillId="0" borderId="13" xfId="14" applyNumberFormat="1" applyFont="1" applyFill="1" applyBorder="1" applyAlignment="1">
      <alignment horizontal="center" vertical="center" shrinkToFit="1"/>
    </xf>
    <xf numFmtId="0" fontId="14" fillId="0" borderId="11" xfId="13" applyFont="1" applyBorder="1" applyAlignment="1">
      <alignment horizontal="justify" vertical="center" wrapText="1"/>
    </xf>
    <xf numFmtId="0" fontId="14" fillId="0" borderId="24" xfId="13" applyFont="1" applyBorder="1" applyAlignment="1">
      <alignment horizontal="justify" vertical="center" wrapText="1"/>
    </xf>
    <xf numFmtId="0" fontId="14" fillId="0" borderId="13" xfId="13" applyFont="1" applyBorder="1" applyAlignment="1">
      <alignment horizontal="justify" vertical="center" wrapText="1"/>
    </xf>
    <xf numFmtId="10" fontId="14" fillId="38" borderId="1" xfId="13" applyNumberFormat="1" applyFont="1" applyFill="1" applyBorder="1" applyAlignment="1">
      <alignment horizontal="center" vertical="center"/>
    </xf>
    <xf numFmtId="0" fontId="14" fillId="38" borderId="1" xfId="13" applyFont="1" applyFill="1" applyBorder="1" applyAlignment="1">
      <alignment horizontal="center" vertical="center"/>
    </xf>
    <xf numFmtId="10" fontId="14" fillId="38" borderId="1" xfId="13" applyNumberFormat="1" applyFont="1" applyFill="1" applyBorder="1" applyAlignment="1">
      <alignment horizontal="left" vertical="center"/>
    </xf>
    <xf numFmtId="0" fontId="14" fillId="38" borderId="30" xfId="13" applyFont="1" applyFill="1" applyBorder="1" applyAlignment="1">
      <alignment horizontal="left" vertical="center"/>
    </xf>
    <xf numFmtId="167" fontId="12" fillId="0" borderId="24" xfId="13" applyNumberFormat="1" applyFont="1" applyBorder="1" applyAlignment="1">
      <alignment horizontal="center" vertical="center" shrinkToFit="1"/>
    </xf>
    <xf numFmtId="167" fontId="12" fillId="0" borderId="13" xfId="13" applyNumberFormat="1" applyFont="1" applyBorder="1" applyAlignment="1">
      <alignment horizontal="center" vertical="center" shrinkToFit="1"/>
    </xf>
    <xf numFmtId="0" fontId="14" fillId="0" borderId="29" xfId="12" applyFont="1" applyBorder="1" applyAlignment="1">
      <alignment horizontal="center" vertical="center" wrapText="1"/>
    </xf>
    <xf numFmtId="0" fontId="14" fillId="0" borderId="1" xfId="12" applyFont="1" applyBorder="1" applyAlignment="1">
      <alignment horizontal="center" vertical="center" wrapText="1"/>
    </xf>
    <xf numFmtId="0" fontId="14" fillId="0" borderId="30" xfId="12" applyFont="1" applyBorder="1" applyAlignment="1">
      <alignment horizontal="center" vertical="center" wrapText="1"/>
    </xf>
    <xf numFmtId="10" fontId="14" fillId="38" borderId="29" xfId="16" applyNumberFormat="1" applyFont="1" applyFill="1" applyBorder="1" applyAlignment="1">
      <alignment horizontal="center" vertical="center"/>
    </xf>
    <xf numFmtId="10" fontId="14" fillId="38" borderId="1" xfId="16" applyNumberFormat="1" applyFont="1" applyFill="1" applyBorder="1" applyAlignment="1">
      <alignment horizontal="center" vertical="center"/>
    </xf>
    <xf numFmtId="171" fontId="12" fillId="0" borderId="29" xfId="14" applyNumberFormat="1" applyFont="1" applyFill="1" applyBorder="1" applyAlignment="1">
      <alignment horizontal="center" vertical="center" shrinkToFit="1"/>
    </xf>
    <xf numFmtId="171" fontId="12" fillId="0" borderId="1" xfId="14" applyNumberFormat="1" applyFont="1" applyFill="1" applyBorder="1" applyAlignment="1">
      <alignment horizontal="center" vertical="center" shrinkToFit="1"/>
    </xf>
    <xf numFmtId="171" fontId="12" fillId="0" borderId="30" xfId="14" applyNumberFormat="1" applyFont="1" applyFill="1" applyBorder="1" applyAlignment="1">
      <alignment horizontal="center" vertical="center" shrinkToFit="1"/>
    </xf>
    <xf numFmtId="0" fontId="15" fillId="36" borderId="17" xfId="12" applyFont="1" applyFill="1" applyBorder="1" applyAlignment="1">
      <alignment horizontal="center" vertical="center"/>
    </xf>
    <xf numFmtId="10" fontId="14" fillId="38" borderId="1" xfId="13" applyNumberFormat="1" applyFont="1" applyFill="1" applyBorder="1">
      <alignment vertical="center"/>
    </xf>
    <xf numFmtId="10" fontId="14" fillId="38" borderId="1" xfId="18" applyNumberFormat="1" applyFont="1" applyFill="1" applyBorder="1" applyAlignment="1">
      <alignment vertical="center"/>
    </xf>
    <xf numFmtId="10" fontId="14" fillId="0" borderId="1" xfId="18" applyNumberFormat="1" applyFont="1" applyBorder="1" applyAlignment="1">
      <alignment vertical="center"/>
    </xf>
    <xf numFmtId="167" fontId="12" fillId="0" borderId="2" xfId="12" applyNumberFormat="1" applyFont="1" applyBorder="1" applyAlignment="1">
      <alignment horizontal="center" vertical="center" shrinkToFit="1"/>
    </xf>
    <xf numFmtId="167" fontId="12" fillId="0" borderId="2" xfId="13" applyNumberFormat="1" applyFont="1" applyBorder="1" applyAlignment="1">
      <alignment horizontal="center" vertical="center" shrinkToFit="1"/>
    </xf>
    <xf numFmtId="0" fontId="52" fillId="37" borderId="2" xfId="13" applyFont="1" applyFill="1" applyBorder="1" applyAlignment="1">
      <alignment horizontal="center" vertical="center" shrinkToFit="1"/>
    </xf>
    <xf numFmtId="0" fontId="15" fillId="37" borderId="11" xfId="12" applyFont="1" applyFill="1" applyBorder="1" applyAlignment="1">
      <alignment horizontal="center" vertical="center"/>
    </xf>
    <xf numFmtId="0" fontId="15" fillId="37" borderId="24" xfId="12" applyFont="1" applyFill="1" applyBorder="1" applyAlignment="1">
      <alignment horizontal="center" vertical="center"/>
    </xf>
    <xf numFmtId="0" fontId="15" fillId="37" borderId="13" xfId="12" applyFont="1" applyFill="1" applyBorder="1" applyAlignment="1">
      <alignment horizontal="center" vertical="center"/>
    </xf>
    <xf numFmtId="0" fontId="14" fillId="0" borderId="27" xfId="12" applyFont="1" applyBorder="1" applyAlignment="1">
      <alignment horizontal="justify" vertical="center"/>
    </xf>
    <xf numFmtId="0" fontId="14" fillId="0" borderId="17" xfId="13" applyFont="1" applyBorder="1" applyAlignment="1">
      <alignment horizontal="justify" vertical="center"/>
    </xf>
    <xf numFmtId="0" fontId="14" fillId="0" borderId="28" xfId="13" applyFont="1" applyBorder="1" applyAlignment="1">
      <alignment horizontal="justify" vertical="center"/>
    </xf>
    <xf numFmtId="10" fontId="14" fillId="38" borderId="29" xfId="16" applyNumberFormat="1" applyFont="1" applyFill="1" applyBorder="1" applyAlignment="1">
      <alignment vertical="center"/>
    </xf>
    <xf numFmtId="10" fontId="14" fillId="38" borderId="1" xfId="16" applyNumberFormat="1" applyFont="1" applyFill="1" applyBorder="1" applyAlignment="1">
      <alignment vertical="center"/>
    </xf>
    <xf numFmtId="0" fontId="12" fillId="19" borderId="10" xfId="34" applyFont="1" applyFill="1" applyBorder="1" applyAlignment="1">
      <alignment horizontal="center" vertical="center" wrapText="1"/>
    </xf>
    <xf numFmtId="0" fontId="12" fillId="19" borderId="32" xfId="34" applyFont="1" applyFill="1" applyBorder="1" applyAlignment="1">
      <alignment horizontal="center" vertical="center" wrapText="1"/>
    </xf>
    <xf numFmtId="0" fontId="12" fillId="19" borderId="16" xfId="34" applyFont="1" applyFill="1" applyBorder="1" applyAlignment="1">
      <alignment horizontal="center" vertical="center" wrapText="1"/>
    </xf>
    <xf numFmtId="0" fontId="14" fillId="0" borderId="17" xfId="13" applyFont="1" applyBorder="1">
      <alignment vertical="center"/>
    </xf>
    <xf numFmtId="0" fontId="14" fillId="38" borderId="29" xfId="16" applyNumberFormat="1" applyFont="1" applyFill="1" applyBorder="1" applyAlignment="1">
      <alignment horizontal="center" vertical="center"/>
    </xf>
    <xf numFmtId="0" fontId="14" fillId="38" borderId="1" xfId="16" applyNumberFormat="1" applyFont="1" applyFill="1" applyBorder="1" applyAlignment="1">
      <alignment horizontal="center" vertical="center"/>
    </xf>
    <xf numFmtId="0" fontId="14" fillId="38" borderId="1" xfId="12" applyFont="1" applyFill="1" applyBorder="1" applyAlignment="1">
      <alignment horizontal="center" vertical="center"/>
    </xf>
    <xf numFmtId="0" fontId="14" fillId="38" borderId="1" xfId="13" applyFont="1" applyFill="1" applyBorder="1">
      <alignment vertical="center"/>
    </xf>
    <xf numFmtId="0" fontId="14" fillId="38" borderId="30" xfId="12" applyFont="1" applyFill="1" applyBorder="1" applyAlignment="1">
      <alignment horizontal="center" vertical="center"/>
    </xf>
    <xf numFmtId="0" fontId="14" fillId="0" borderId="16" xfId="12" applyFont="1" applyBorder="1" applyAlignment="1">
      <alignment vertical="center" shrinkToFit="1"/>
    </xf>
    <xf numFmtId="0" fontId="14" fillId="0" borderId="16" xfId="13" applyFont="1" applyBorder="1">
      <alignment vertical="center"/>
    </xf>
    <xf numFmtId="10" fontId="14" fillId="0" borderId="2" xfId="14" applyNumberFormat="1" applyFont="1" applyFill="1" applyBorder="1" applyAlignment="1">
      <alignment horizontal="center" vertical="center" shrinkToFit="1"/>
    </xf>
    <xf numFmtId="0" fontId="14" fillId="0" borderId="2" xfId="13" applyFont="1" applyBorder="1" applyAlignment="1">
      <alignment horizontal="center" vertical="center" shrinkToFit="1"/>
    </xf>
    <xf numFmtId="0" fontId="52" fillId="37" borderId="11" xfId="12" applyFont="1" applyFill="1" applyBorder="1" applyAlignment="1">
      <alignment horizontal="right" vertical="center" wrapText="1"/>
    </xf>
    <xf numFmtId="0" fontId="52" fillId="37" borderId="24" xfId="12" applyFont="1" applyFill="1" applyBorder="1" applyAlignment="1">
      <alignment horizontal="right" vertical="center" wrapText="1"/>
    </xf>
    <xf numFmtId="0" fontId="52" fillId="37" borderId="24" xfId="13" applyFont="1" applyFill="1" applyBorder="1" applyAlignment="1">
      <alignment horizontal="right" vertical="center"/>
    </xf>
    <xf numFmtId="0" fontId="52" fillId="37" borderId="13" xfId="13" applyFont="1" applyFill="1" applyBorder="1" applyAlignment="1">
      <alignment horizontal="right" vertical="center"/>
    </xf>
    <xf numFmtId="10" fontId="52" fillId="37" borderId="2" xfId="14" applyNumberFormat="1" applyFont="1" applyFill="1" applyBorder="1" applyAlignment="1">
      <alignment horizontal="center" vertical="center" shrinkToFit="1"/>
    </xf>
    <xf numFmtId="0" fontId="14" fillId="0" borderId="11" xfId="13" applyFont="1" applyBorder="1">
      <alignment vertical="center"/>
    </xf>
    <xf numFmtId="0" fontId="14" fillId="0" borderId="10" xfId="12" applyFont="1" applyBorder="1" applyAlignment="1">
      <alignment vertical="center" shrinkToFit="1"/>
    </xf>
    <xf numFmtId="10" fontId="12" fillId="0" borderId="2" xfId="14" applyNumberFormat="1" applyFont="1" applyFill="1" applyBorder="1" applyAlignment="1">
      <alignment horizontal="center" vertical="center" shrinkToFit="1"/>
    </xf>
    <xf numFmtId="0" fontId="14" fillId="0" borderId="27" xfId="12" applyFont="1" applyBorder="1" applyAlignment="1">
      <alignment vertical="center" shrinkToFit="1"/>
    </xf>
    <xf numFmtId="0" fontId="14" fillId="0" borderId="17" xfId="12" applyFont="1" applyBorder="1" applyAlignment="1">
      <alignment vertical="center" shrinkToFit="1"/>
    </xf>
    <xf numFmtId="0" fontId="14" fillId="0" borderId="28" xfId="13" applyFont="1" applyBorder="1">
      <alignment vertical="center"/>
    </xf>
    <xf numFmtId="10" fontId="14" fillId="0" borderId="11" xfId="14" applyNumberFormat="1" applyFont="1" applyFill="1" applyBorder="1" applyAlignment="1">
      <alignment horizontal="center" vertical="center" shrinkToFit="1"/>
    </xf>
    <xf numFmtId="0" fontId="14" fillId="0" borderId="24" xfId="13" applyFont="1" applyBorder="1" applyAlignment="1">
      <alignment horizontal="center" vertical="center" shrinkToFit="1"/>
    </xf>
    <xf numFmtId="0" fontId="14" fillId="0" borderId="13" xfId="13" applyFont="1" applyBorder="1" applyAlignment="1">
      <alignment horizontal="center" vertical="center" shrinkToFit="1"/>
    </xf>
    <xf numFmtId="0" fontId="14" fillId="0" borderId="11" xfId="13" applyFont="1" applyBorder="1" applyAlignment="1">
      <alignment horizontal="center" vertical="center" shrinkToFit="1"/>
    </xf>
    <xf numFmtId="0" fontId="14" fillId="0" borderId="1" xfId="12" applyFont="1" applyBorder="1" applyAlignment="1">
      <alignment vertical="center" shrinkToFit="1"/>
    </xf>
    <xf numFmtId="10" fontId="14" fillId="38" borderId="39" xfId="14" applyNumberFormat="1" applyFont="1" applyFill="1" applyBorder="1" applyAlignment="1">
      <alignment vertical="center"/>
    </xf>
    <xf numFmtId="10" fontId="14" fillId="38" borderId="40" xfId="14" applyNumberFormat="1" applyFont="1" applyFill="1" applyBorder="1" applyAlignment="1">
      <alignment vertical="center"/>
    </xf>
    <xf numFmtId="10" fontId="14" fillId="38" borderId="41" xfId="14" applyNumberFormat="1" applyFont="1" applyFill="1" applyBorder="1" applyAlignment="1">
      <alignment vertical="center"/>
    </xf>
    <xf numFmtId="168" fontId="14" fillId="38" borderId="39" xfId="13" applyNumberFormat="1" applyFont="1" applyFill="1" applyBorder="1">
      <alignment vertical="center"/>
    </xf>
    <xf numFmtId="168" fontId="14" fillId="38" borderId="40" xfId="13" applyNumberFormat="1" applyFont="1" applyFill="1" applyBorder="1">
      <alignment vertical="center"/>
    </xf>
    <xf numFmtId="168" fontId="14" fillId="38" borderId="41" xfId="13" applyNumberFormat="1" applyFont="1" applyFill="1" applyBorder="1">
      <alignment vertical="center"/>
    </xf>
    <xf numFmtId="0" fontId="14" fillId="0" borderId="2" xfId="12" applyFont="1" applyBorder="1" applyAlignment="1">
      <alignment vertical="center" shrinkToFit="1"/>
    </xf>
    <xf numFmtId="0" fontId="14" fillId="0" borderId="2" xfId="13" applyFont="1" applyBorder="1">
      <alignment vertical="center"/>
    </xf>
    <xf numFmtId="0" fontId="15" fillId="36" borderId="11" xfId="12" applyFont="1" applyFill="1" applyBorder="1" applyAlignment="1">
      <alignment horizontal="center" vertical="center" wrapText="1"/>
    </xf>
    <xf numFmtId="0" fontId="15" fillId="36" borderId="24" xfId="12" applyFont="1" applyFill="1" applyBorder="1" applyAlignment="1">
      <alignment horizontal="center" vertical="center" wrapText="1"/>
    </xf>
    <xf numFmtId="0" fontId="14" fillId="36" borderId="24" xfId="13" applyFont="1" applyFill="1" applyBorder="1" applyAlignment="1">
      <alignment horizontal="center" vertical="center"/>
    </xf>
    <xf numFmtId="0" fontId="14" fillId="36" borderId="13" xfId="13" applyFont="1" applyFill="1" applyBorder="1" applyAlignment="1">
      <alignment horizontal="center" vertical="center"/>
    </xf>
    <xf numFmtId="0" fontId="15" fillId="37" borderId="2" xfId="12" applyFont="1" applyFill="1" applyBorder="1" applyAlignment="1">
      <alignment horizontal="left" vertical="center" wrapText="1"/>
    </xf>
    <xf numFmtId="0" fontId="14" fillId="37" borderId="2" xfId="13" applyFont="1" applyFill="1" applyBorder="1" applyAlignment="1">
      <alignment horizontal="left" vertical="center"/>
    </xf>
    <xf numFmtId="10" fontId="15" fillId="37" borderId="2" xfId="14" applyNumberFormat="1" applyFont="1" applyFill="1" applyBorder="1" applyAlignment="1">
      <alignment horizontal="center" vertical="center" shrinkToFit="1"/>
    </xf>
    <xf numFmtId="0" fontId="14" fillId="37" borderId="2" xfId="13" applyFont="1" applyFill="1" applyBorder="1" applyAlignment="1">
      <alignment vertical="center" shrinkToFit="1"/>
    </xf>
    <xf numFmtId="0" fontId="89" fillId="0" borderId="13" xfId="5" applyFont="1" applyBorder="1" applyAlignment="1">
      <alignment horizontal="justify" vertical="center" wrapText="1"/>
    </xf>
    <xf numFmtId="0" fontId="101" fillId="0" borderId="11" xfId="5" applyFont="1" applyBorder="1" applyAlignment="1">
      <alignment horizontal="justify" vertical="center" wrapText="1"/>
    </xf>
    <xf numFmtId="0" fontId="101" fillId="0" borderId="24" xfId="5" applyFont="1" applyBorder="1" applyAlignment="1">
      <alignment horizontal="justify" vertical="center" wrapText="1"/>
    </xf>
    <xf numFmtId="0" fontId="101" fillId="0" borderId="13" xfId="5" applyFont="1" applyBorder="1" applyAlignment="1">
      <alignment horizontal="justify" vertical="center" wrapText="1"/>
    </xf>
    <xf numFmtId="0" fontId="103" fillId="0" borderId="2" xfId="0" applyFont="1" applyBorder="1" applyAlignment="1">
      <alignment horizontal="center" vertical="center" wrapText="1"/>
    </xf>
    <xf numFmtId="0" fontId="15" fillId="6" borderId="11" xfId="0" applyFont="1" applyFill="1" applyBorder="1" applyAlignment="1">
      <alignment horizontal="center" vertical="center" wrapText="1"/>
    </xf>
    <xf numFmtId="0" fontId="15" fillId="6" borderId="24" xfId="0" applyFont="1" applyFill="1" applyBorder="1" applyAlignment="1">
      <alignment horizontal="center" vertical="center" wrapText="1"/>
    </xf>
    <xf numFmtId="0" fontId="15" fillId="6" borderId="13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/>
    </xf>
    <xf numFmtId="0" fontId="5" fillId="6" borderId="24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100" fillId="0" borderId="11" xfId="5" applyFont="1" applyBorder="1" applyAlignment="1">
      <alignment horizontal="justify" vertical="center" wrapText="1"/>
    </xf>
    <xf numFmtId="0" fontId="100" fillId="0" borderId="24" xfId="5" applyFont="1" applyBorder="1" applyAlignment="1">
      <alignment horizontal="justify" vertical="center" wrapText="1"/>
    </xf>
    <xf numFmtId="0" fontId="100" fillId="0" borderId="13" xfId="5" applyFont="1" applyBorder="1" applyAlignment="1">
      <alignment horizontal="justify" vertical="center" wrapText="1"/>
    </xf>
    <xf numFmtId="0" fontId="102" fillId="0" borderId="2" xfId="0" applyFont="1" applyBorder="1" applyAlignment="1">
      <alignment horizontal="justify" vertical="center" wrapText="1"/>
    </xf>
    <xf numFmtId="0" fontId="103" fillId="17" borderId="2" xfId="0" applyFont="1" applyFill="1" applyBorder="1" applyAlignment="1">
      <alignment horizontal="center" vertical="center" wrapText="1"/>
    </xf>
    <xf numFmtId="0" fontId="96" fillId="0" borderId="2" xfId="9" applyFont="1" applyBorder="1" applyAlignment="1">
      <alignment horizontal="justify" vertical="center" wrapText="1"/>
    </xf>
    <xf numFmtId="0" fontId="95" fillId="0" borderId="2" xfId="9" applyFont="1" applyBorder="1" applyAlignment="1">
      <alignment horizontal="justify" vertical="center" wrapText="1"/>
    </xf>
    <xf numFmtId="0" fontId="95" fillId="0" borderId="2" xfId="37" applyFont="1" applyBorder="1" applyAlignment="1">
      <alignment horizontal="justify" vertical="center" wrapText="1"/>
    </xf>
    <xf numFmtId="0" fontId="22" fillId="21" borderId="11" xfId="37" applyFont="1" applyFill="1" applyBorder="1" applyAlignment="1">
      <alignment horizontal="center" vertical="center" wrapText="1"/>
    </xf>
    <xf numFmtId="0" fontId="22" fillId="21" borderId="24" xfId="37" applyFont="1" applyFill="1" applyBorder="1" applyAlignment="1">
      <alignment horizontal="center" vertical="center" wrapText="1"/>
    </xf>
    <xf numFmtId="0" fontId="22" fillId="21" borderId="13" xfId="37" applyFont="1" applyFill="1" applyBorder="1" applyAlignment="1">
      <alignment horizontal="center" vertical="center" wrapText="1"/>
    </xf>
    <xf numFmtId="0" fontId="24" fillId="0" borderId="2" xfId="39" applyFont="1" applyBorder="1" applyAlignment="1">
      <alignment horizontal="center" vertical="center" wrapText="1"/>
    </xf>
    <xf numFmtId="0" fontId="36" fillId="23" borderId="11" xfId="38" applyFont="1" applyFill="1" applyBorder="1" applyAlignment="1">
      <alignment horizontal="right" vertical="center" wrapText="1"/>
    </xf>
    <xf numFmtId="0" fontId="36" fillId="23" borderId="13" xfId="38" applyFont="1" applyFill="1" applyBorder="1" applyAlignment="1">
      <alignment horizontal="right" vertical="center" wrapText="1"/>
    </xf>
    <xf numFmtId="0" fontId="42" fillId="14" borderId="2" xfId="38" applyFont="1" applyFill="1" applyBorder="1" applyAlignment="1">
      <alignment horizontal="right" vertical="center" wrapText="1"/>
    </xf>
    <xf numFmtId="0" fontId="43" fillId="14" borderId="2" xfId="38" applyFont="1" applyFill="1" applyBorder="1" applyAlignment="1">
      <alignment horizontal="right" vertical="center" wrapText="1"/>
    </xf>
    <xf numFmtId="0" fontId="22" fillId="5" borderId="2" xfId="38" applyFont="1" applyFill="1" applyBorder="1" applyAlignment="1">
      <alignment horizontal="right" vertical="center" wrapText="1"/>
    </xf>
    <xf numFmtId="0" fontId="1" fillId="5" borderId="2" xfId="38" applyFill="1" applyBorder="1" applyAlignment="1">
      <alignment horizontal="right" vertical="center" wrapText="1"/>
    </xf>
    <xf numFmtId="0" fontId="28" fillId="19" borderId="2" xfId="30" applyFont="1" applyFill="1" applyBorder="1" applyAlignment="1">
      <alignment horizontal="center" vertical="center" wrapText="1"/>
    </xf>
    <xf numFmtId="0" fontId="28" fillId="0" borderId="11" xfId="30" applyFont="1" applyBorder="1" applyAlignment="1">
      <alignment horizontal="center" vertical="center" wrapText="1"/>
    </xf>
    <xf numFmtId="0" fontId="28" fillId="0" borderId="24" xfId="30" applyFont="1" applyBorder="1" applyAlignment="1">
      <alignment horizontal="center" vertical="center" wrapText="1"/>
    </xf>
    <xf numFmtId="0" fontId="28" fillId="0" borderId="13" xfId="30" applyFont="1" applyBorder="1" applyAlignment="1">
      <alignment horizontal="center" vertical="center" wrapText="1"/>
    </xf>
    <xf numFmtId="174" fontId="30" fillId="23" borderId="11" xfId="5" applyNumberFormat="1" applyFont="1" applyFill="1" applyBorder="1" applyAlignment="1">
      <alignment horizontal="center" vertical="center"/>
    </xf>
    <xf numFmtId="174" fontId="30" fillId="23" borderId="24" xfId="5" applyNumberFormat="1" applyFont="1" applyFill="1" applyBorder="1" applyAlignment="1">
      <alignment horizontal="center" vertical="center"/>
    </xf>
    <xf numFmtId="174" fontId="30" fillId="23" borderId="13" xfId="5" applyNumberFormat="1" applyFont="1" applyFill="1" applyBorder="1" applyAlignment="1">
      <alignment horizontal="center" vertical="center"/>
    </xf>
    <xf numFmtId="0" fontId="27" fillId="32" borderId="2" xfId="30" applyFont="1" applyFill="1" applyBorder="1" applyAlignment="1">
      <alignment horizontal="center" vertical="center" wrapText="1"/>
    </xf>
    <xf numFmtId="0" fontId="67" fillId="32" borderId="2" xfId="5" applyFont="1" applyFill="1" applyBorder="1" applyAlignment="1">
      <alignment horizontal="center" vertical="center"/>
    </xf>
    <xf numFmtId="0" fontId="27" fillId="11" borderId="2" xfId="30" applyFont="1" applyFill="1" applyBorder="1" applyAlignment="1">
      <alignment horizontal="center" vertical="center" wrapText="1"/>
    </xf>
    <xf numFmtId="174" fontId="27" fillId="5" borderId="11" xfId="11" applyNumberFormat="1" applyFont="1" applyFill="1" applyBorder="1" applyAlignment="1">
      <alignment horizontal="center" vertical="center" wrapText="1"/>
    </xf>
    <xf numFmtId="174" fontId="27" fillId="5" borderId="24" xfId="11" applyNumberFormat="1" applyFont="1" applyFill="1" applyBorder="1" applyAlignment="1">
      <alignment horizontal="center" vertical="center" wrapText="1"/>
    </xf>
    <xf numFmtId="174" fontId="27" fillId="5" borderId="13" xfId="11" applyNumberFormat="1" applyFont="1" applyFill="1" applyBorder="1" applyAlignment="1">
      <alignment horizontal="center" vertical="center" wrapText="1"/>
    </xf>
    <xf numFmtId="0" fontId="98" fillId="0" borderId="2" xfId="5" applyFont="1" applyBorder="1" applyAlignment="1">
      <alignment horizontal="justify" vertical="center" wrapText="1"/>
    </xf>
    <xf numFmtId="0" fontId="29" fillId="0" borderId="11" xfId="5" applyFont="1" applyBorder="1" applyAlignment="1" applyProtection="1">
      <alignment horizontal="center" vertical="center"/>
      <protection locked="0"/>
    </xf>
    <xf numFmtId="0" fontId="29" fillId="0" borderId="13" xfId="5" applyFont="1" applyBorder="1" applyAlignment="1" applyProtection="1">
      <alignment horizontal="center" vertical="center"/>
      <protection locked="0"/>
    </xf>
    <xf numFmtId="0" fontId="29" fillId="0" borderId="27" xfId="5" applyFont="1" applyBorder="1" applyAlignment="1" applyProtection="1">
      <alignment horizontal="center" vertical="center"/>
      <protection locked="0"/>
    </xf>
    <xf numFmtId="0" fontId="29" fillId="0" borderId="28" xfId="5" applyFont="1" applyBorder="1" applyAlignment="1" applyProtection="1">
      <alignment horizontal="center" vertical="center"/>
      <protection locked="0"/>
    </xf>
    <xf numFmtId="0" fontId="30" fillId="0" borderId="2" xfId="5" applyFont="1" applyBorder="1" applyAlignment="1" applyProtection="1">
      <alignment horizontal="center" vertical="center"/>
      <protection locked="0"/>
    </xf>
    <xf numFmtId="0" fontId="29" fillId="0" borderId="2" xfId="5" applyFont="1" applyBorder="1" applyAlignment="1" applyProtection="1">
      <alignment horizontal="center" vertical="center"/>
      <protection locked="0"/>
    </xf>
    <xf numFmtId="0" fontId="29" fillId="0" borderId="16" xfId="5" applyFont="1" applyBorder="1" applyAlignment="1" applyProtection="1">
      <alignment horizontal="center" vertical="center"/>
      <protection locked="0"/>
    </xf>
    <xf numFmtId="0" fontId="29" fillId="0" borderId="10" xfId="5" applyFont="1" applyBorder="1" applyAlignment="1" applyProtection="1">
      <alignment horizontal="center" vertical="center"/>
      <protection locked="0"/>
    </xf>
    <xf numFmtId="0" fontId="68" fillId="5" borderId="2" xfId="5" applyFont="1" applyFill="1" applyBorder="1" applyAlignment="1" applyProtection="1">
      <alignment horizontal="right" vertical="center"/>
      <protection locked="0"/>
    </xf>
    <xf numFmtId="0" fontId="68" fillId="5" borderId="11" xfId="5" applyFont="1" applyFill="1" applyBorder="1" applyAlignment="1" applyProtection="1">
      <alignment horizontal="right" vertical="center"/>
      <protection locked="0"/>
    </xf>
    <xf numFmtId="0" fontId="68" fillId="8" borderId="11" xfId="5" applyFont="1" applyFill="1" applyBorder="1" applyAlignment="1" applyProtection="1">
      <alignment horizontal="right" vertical="center" wrapText="1"/>
      <protection locked="0"/>
    </xf>
    <xf numFmtId="0" fontId="68" fillId="8" borderId="24" xfId="5" applyFont="1" applyFill="1" applyBorder="1" applyAlignment="1" applyProtection="1">
      <alignment horizontal="right" vertical="center" wrapText="1"/>
      <protection locked="0"/>
    </xf>
    <xf numFmtId="0" fontId="68" fillId="8" borderId="13" xfId="5" applyFont="1" applyFill="1" applyBorder="1" applyAlignment="1" applyProtection="1">
      <alignment horizontal="right" vertical="center" wrapText="1"/>
      <protection locked="0"/>
    </xf>
    <xf numFmtId="0" fontId="30" fillId="12" borderId="2" xfId="5" applyFont="1" applyFill="1" applyBorder="1" applyAlignment="1" applyProtection="1">
      <alignment horizontal="center" vertical="center"/>
      <protection locked="0"/>
    </xf>
    <xf numFmtId="0" fontId="71" fillId="8" borderId="11" xfId="5" applyFont="1" applyFill="1" applyBorder="1" applyAlignment="1" applyProtection="1">
      <alignment horizontal="center" vertical="center" wrapText="1"/>
      <protection locked="0"/>
    </xf>
    <xf numFmtId="0" fontId="71" fillId="8" borderId="24" xfId="5" applyFont="1" applyFill="1" applyBorder="1" applyAlignment="1" applyProtection="1">
      <alignment horizontal="center" vertical="center" wrapText="1"/>
      <protection locked="0"/>
    </xf>
    <xf numFmtId="0" fontId="71" fillId="8" borderId="13" xfId="5" applyFont="1" applyFill="1" applyBorder="1" applyAlignment="1" applyProtection="1">
      <alignment horizontal="center" vertical="center" wrapText="1"/>
      <protection locked="0"/>
    </xf>
    <xf numFmtId="0" fontId="30" fillId="5" borderId="11" xfId="5" applyFont="1" applyFill="1" applyBorder="1" applyAlignment="1" applyProtection="1">
      <alignment horizontal="center" vertical="center" wrapText="1"/>
      <protection locked="0"/>
    </xf>
    <xf numFmtId="0" fontId="30" fillId="5" borderId="24" xfId="5" applyFont="1" applyFill="1" applyBorder="1" applyAlignment="1" applyProtection="1">
      <alignment horizontal="center" vertical="center" wrapText="1"/>
      <protection locked="0"/>
    </xf>
    <xf numFmtId="0" fontId="30" fillId="5" borderId="13" xfId="5" applyFont="1" applyFill="1" applyBorder="1" applyAlignment="1" applyProtection="1">
      <alignment horizontal="center" vertical="center" wrapText="1"/>
      <protection locked="0"/>
    </xf>
    <xf numFmtId="0" fontId="15" fillId="0" borderId="2" xfId="5" applyFont="1" applyBorder="1" applyAlignment="1" applyProtection="1">
      <alignment horizontal="center" vertical="center" wrapText="1"/>
      <protection locked="0"/>
    </xf>
    <xf numFmtId="0" fontId="30" fillId="5" borderId="11" xfId="5" applyFont="1" applyFill="1" applyBorder="1" applyAlignment="1" applyProtection="1">
      <alignment horizontal="center" vertical="center"/>
      <protection locked="0"/>
    </xf>
    <xf numFmtId="0" fontId="30" fillId="5" borderId="13" xfId="5" applyFont="1" applyFill="1" applyBorder="1" applyAlignment="1" applyProtection="1">
      <alignment horizontal="center" vertical="center"/>
      <protection locked="0"/>
    </xf>
    <xf numFmtId="44" fontId="15" fillId="0" borderId="32" xfId="5" applyNumberFormat="1" applyFont="1" applyBorder="1" applyAlignment="1" applyProtection="1">
      <alignment horizontal="center" vertical="center"/>
      <protection locked="0"/>
    </xf>
    <xf numFmtId="0" fontId="15" fillId="0" borderId="16" xfId="5" applyFont="1" applyBorder="1" applyAlignment="1" applyProtection="1">
      <alignment horizontal="center" vertical="center"/>
      <protection locked="0"/>
    </xf>
    <xf numFmtId="44" fontId="30" fillId="5" borderId="11" xfId="5" applyNumberFormat="1" applyFont="1" applyFill="1" applyBorder="1" applyAlignment="1" applyProtection="1">
      <alignment horizontal="right" vertical="center"/>
      <protection locked="0"/>
    </xf>
    <xf numFmtId="44" fontId="30" fillId="5" borderId="24" xfId="5" applyNumberFormat="1" applyFont="1" applyFill="1" applyBorder="1" applyAlignment="1" applyProtection="1">
      <alignment horizontal="right" vertical="center"/>
      <protection locked="0"/>
    </xf>
    <xf numFmtId="44" fontId="30" fillId="5" borderId="45" xfId="5" applyNumberFormat="1" applyFont="1" applyFill="1" applyBorder="1" applyAlignment="1" applyProtection="1">
      <alignment horizontal="right" vertical="center"/>
      <protection locked="0"/>
    </xf>
    <xf numFmtId="0" fontId="30" fillId="12" borderId="2" xfId="5" applyFont="1" applyFill="1" applyBorder="1" applyAlignment="1" applyProtection="1">
      <alignment horizontal="center" vertical="center" wrapText="1"/>
      <protection locked="0"/>
    </xf>
    <xf numFmtId="0" fontId="29" fillId="0" borderId="11" xfId="5" applyFont="1" applyBorder="1" applyAlignment="1" applyProtection="1">
      <alignment horizontal="right" vertical="center"/>
      <protection locked="0"/>
    </xf>
    <xf numFmtId="0" fontId="29" fillId="0" borderId="24" xfId="5" applyFont="1" applyBorder="1" applyAlignment="1" applyProtection="1">
      <alignment horizontal="right" vertical="center"/>
      <protection locked="0"/>
    </xf>
    <xf numFmtId="0" fontId="29" fillId="0" borderId="13" xfId="5" applyFont="1" applyBorder="1" applyAlignment="1" applyProtection="1">
      <alignment horizontal="right" vertical="center"/>
      <protection locked="0"/>
    </xf>
    <xf numFmtId="0" fontId="30" fillId="13" borderId="2" xfId="5" applyFont="1" applyFill="1" applyBorder="1" applyAlignment="1" applyProtection="1">
      <alignment horizontal="right" vertical="center"/>
      <protection locked="0"/>
    </xf>
    <xf numFmtId="0" fontId="72" fillId="0" borderId="24" xfId="24" applyFont="1" applyBorder="1" applyAlignment="1">
      <alignment horizontal="justify" vertical="center" wrapText="1"/>
    </xf>
    <xf numFmtId="0" fontId="72" fillId="0" borderId="24" xfId="24" applyFont="1" applyBorder="1" applyAlignment="1">
      <alignment horizontal="justify" vertical="center"/>
    </xf>
    <xf numFmtId="0" fontId="72" fillId="0" borderId="13" xfId="24" applyFont="1" applyBorder="1" applyAlignment="1">
      <alignment horizontal="justify" vertical="center"/>
    </xf>
    <xf numFmtId="0" fontId="8" fillId="0" borderId="2" xfId="24" applyFont="1" applyBorder="1" applyAlignment="1">
      <alignment horizontal="right"/>
    </xf>
    <xf numFmtId="0" fontId="10" fillId="0" borderId="11" xfId="24" applyFont="1" applyBorder="1" applyAlignment="1">
      <alignment horizontal="right"/>
    </xf>
    <xf numFmtId="0" fontId="10" fillId="0" borderId="24" xfId="24" applyFont="1" applyBorder="1" applyAlignment="1">
      <alignment horizontal="right"/>
    </xf>
    <xf numFmtId="0" fontId="10" fillId="0" borderId="13" xfId="24" applyFont="1" applyBorder="1" applyAlignment="1">
      <alignment horizontal="right"/>
    </xf>
    <xf numFmtId="0" fontId="10" fillId="0" borderId="11" xfId="24" applyFont="1" applyBorder="1" applyAlignment="1">
      <alignment horizontal="right" vertical="center"/>
    </xf>
    <xf numFmtId="0" fontId="10" fillId="0" borderId="24" xfId="24" applyFont="1" applyBorder="1" applyAlignment="1">
      <alignment horizontal="right" vertical="center"/>
    </xf>
    <xf numFmtId="0" fontId="10" fillId="0" borderId="13" xfId="24" applyFont="1" applyBorder="1" applyAlignment="1">
      <alignment horizontal="right" vertical="center"/>
    </xf>
    <xf numFmtId="0" fontId="10" fillId="16" borderId="2" xfId="24" applyFont="1" applyFill="1" applyBorder="1" applyAlignment="1">
      <alignment horizontal="right" vertical="center"/>
    </xf>
    <xf numFmtId="0" fontId="10" fillId="16" borderId="29" xfId="24" applyFont="1" applyFill="1" applyBorder="1" applyAlignment="1">
      <alignment horizontal="right" vertical="center"/>
    </xf>
    <xf numFmtId="0" fontId="8" fillId="0" borderId="24" xfId="24" applyFont="1" applyBorder="1" applyAlignment="1">
      <alignment horizontal="center" vertical="center"/>
    </xf>
    <xf numFmtId="0" fontId="8" fillId="0" borderId="30" xfId="24" applyFont="1" applyBorder="1" applyAlignment="1">
      <alignment horizontal="center" vertical="center"/>
    </xf>
    <xf numFmtId="0" fontId="10" fillId="0" borderId="2" xfId="24" applyFont="1" applyBorder="1" applyAlignment="1">
      <alignment horizontal="center" vertical="center"/>
    </xf>
    <xf numFmtId="0" fontId="10" fillId="16" borderId="11" xfId="24" applyFont="1" applyFill="1" applyBorder="1" applyAlignment="1">
      <alignment horizontal="center" vertical="center"/>
    </xf>
    <xf numFmtId="0" fontId="10" fillId="16" borderId="24" xfId="24" applyFont="1" applyFill="1" applyBorder="1" applyAlignment="1">
      <alignment horizontal="center" vertical="center"/>
    </xf>
    <xf numFmtId="0" fontId="10" fillId="16" borderId="13" xfId="24" applyFont="1" applyFill="1" applyBorder="1" applyAlignment="1">
      <alignment horizontal="center" vertical="center"/>
    </xf>
    <xf numFmtId="0" fontId="30" fillId="11" borderId="2" xfId="5" applyFont="1" applyFill="1" applyBorder="1" applyAlignment="1" applyProtection="1">
      <alignment horizontal="center" vertical="center"/>
      <protection locked="0"/>
    </xf>
    <xf numFmtId="0" fontId="15" fillId="0" borderId="27" xfId="5" applyFont="1" applyBorder="1" applyAlignment="1" applyProtection="1">
      <alignment horizontal="center" vertical="center" wrapText="1"/>
      <protection locked="0"/>
    </xf>
    <xf numFmtId="0" fontId="15" fillId="0" borderId="28" xfId="5" applyFont="1" applyBorder="1" applyAlignment="1" applyProtection="1">
      <alignment horizontal="center" vertical="center" wrapText="1"/>
      <protection locked="0"/>
    </xf>
    <xf numFmtId="0" fontId="15" fillId="0" borderId="29" xfId="5" applyFont="1" applyBorder="1" applyAlignment="1" applyProtection="1">
      <alignment horizontal="center" vertical="center" wrapText="1"/>
      <protection locked="0"/>
    </xf>
    <xf numFmtId="0" fontId="15" fillId="0" borderId="30" xfId="5" applyFont="1" applyBorder="1" applyAlignment="1" applyProtection="1">
      <alignment horizontal="center" vertical="center" wrapText="1"/>
      <protection locked="0"/>
    </xf>
    <xf numFmtId="0" fontId="15" fillId="0" borderId="32" xfId="5" applyFont="1" applyBorder="1" applyAlignment="1" applyProtection="1">
      <alignment horizontal="center" vertical="center"/>
      <protection locked="0"/>
    </xf>
    <xf numFmtId="0" fontId="30" fillId="11" borderId="2" xfId="5" applyFont="1" applyFill="1" applyBorder="1" applyAlignment="1" applyProtection="1">
      <alignment horizontal="center" vertical="center" wrapText="1"/>
      <protection locked="0"/>
    </xf>
    <xf numFmtId="0" fontId="83" fillId="5" borderId="57" xfId="31" applyFont="1" applyFill="1" applyBorder="1" applyAlignment="1">
      <alignment horizontal="center" vertical="center" wrapText="1"/>
    </xf>
    <xf numFmtId="0" fontId="83" fillId="5" borderId="59" xfId="31" applyFont="1" applyFill="1" applyBorder="1" applyAlignment="1">
      <alignment horizontal="center" vertical="center" wrapText="1"/>
    </xf>
    <xf numFmtId="0" fontId="83" fillId="5" borderId="46" xfId="31" applyFont="1" applyFill="1" applyBorder="1" applyAlignment="1">
      <alignment horizontal="justify" vertical="center" wrapText="1"/>
    </xf>
    <xf numFmtId="0" fontId="85" fillId="5" borderId="61" xfId="31" applyFont="1" applyFill="1" applyBorder="1" applyAlignment="1">
      <alignment horizontal="justify" vertical="center" wrapText="1"/>
    </xf>
    <xf numFmtId="0" fontId="85" fillId="5" borderId="62" xfId="31" applyFont="1" applyFill="1" applyBorder="1" applyAlignment="1">
      <alignment horizontal="justify" vertical="center" wrapText="1"/>
    </xf>
    <xf numFmtId="0" fontId="83" fillId="8" borderId="52" xfId="31" applyFont="1" applyFill="1" applyBorder="1" applyAlignment="1">
      <alignment horizontal="center" vertical="center"/>
    </xf>
    <xf numFmtId="0" fontId="83" fillId="8" borderId="53" xfId="31" applyFont="1" applyFill="1" applyBorder="1" applyAlignment="1">
      <alignment horizontal="center" vertical="center"/>
    </xf>
    <xf numFmtId="0" fontId="83" fillId="8" borderId="54" xfId="31" applyFont="1" applyFill="1" applyBorder="1" applyAlignment="1">
      <alignment horizontal="center" vertical="center"/>
    </xf>
    <xf numFmtId="0" fontId="83" fillId="8" borderId="44" xfId="31" applyFont="1" applyFill="1" applyBorder="1" applyAlignment="1">
      <alignment horizontal="justify" vertical="center" wrapText="1"/>
    </xf>
    <xf numFmtId="0" fontId="83" fillId="8" borderId="2" xfId="31" applyFont="1" applyFill="1" applyBorder="1" applyAlignment="1">
      <alignment horizontal="justify" vertical="center" wrapText="1"/>
    </xf>
    <xf numFmtId="0" fontId="83" fillId="8" borderId="55" xfId="31" applyFont="1" applyFill="1" applyBorder="1" applyAlignment="1">
      <alignment horizontal="justify" vertical="center" wrapText="1"/>
    </xf>
    <xf numFmtId="0" fontId="83" fillId="5" borderId="56" xfId="31" applyFont="1" applyFill="1" applyBorder="1" applyAlignment="1">
      <alignment horizontal="center" vertical="center"/>
    </xf>
    <xf numFmtId="0" fontId="83" fillId="5" borderId="58" xfId="31" applyFont="1" applyFill="1" applyBorder="1" applyAlignment="1">
      <alignment horizontal="center" vertical="center"/>
    </xf>
    <xf numFmtId="0" fontId="83" fillId="5" borderId="2" xfId="31" applyFont="1" applyFill="1" applyBorder="1" applyAlignment="1">
      <alignment horizontal="justify" vertical="center" wrapText="1"/>
    </xf>
    <xf numFmtId="0" fontId="83" fillId="5" borderId="11" xfId="31" applyFont="1" applyFill="1" applyBorder="1" applyAlignment="1">
      <alignment horizontal="justify" vertical="center" wrapText="1"/>
    </xf>
    <xf numFmtId="166" fontId="4" fillId="0" borderId="11" xfId="25" applyNumberFormat="1" applyFont="1" applyBorder="1" applyAlignment="1">
      <alignment horizontal="justify" vertical="center"/>
    </xf>
    <xf numFmtId="166" fontId="4" fillId="0" borderId="24" xfId="25" applyNumberFormat="1" applyFont="1" applyBorder="1" applyAlignment="1">
      <alignment horizontal="justify" vertical="center"/>
    </xf>
    <xf numFmtId="166" fontId="4" fillId="0" borderId="13" xfId="25" applyNumberFormat="1" applyFont="1" applyBorder="1" applyAlignment="1">
      <alignment horizontal="justify" vertical="center"/>
    </xf>
    <xf numFmtId="166" fontId="4" fillId="0" borderId="11" xfId="25" applyNumberFormat="1" applyFont="1" applyBorder="1" applyAlignment="1">
      <alignment horizontal="justify" vertical="center" wrapText="1"/>
    </xf>
    <xf numFmtId="166" fontId="4" fillId="0" borderId="24" xfId="25" applyNumberFormat="1" applyFont="1" applyBorder="1" applyAlignment="1">
      <alignment horizontal="justify" vertical="center" wrapText="1"/>
    </xf>
    <xf numFmtId="166" fontId="4" fillId="0" borderId="13" xfId="25" applyNumberFormat="1" applyFont="1" applyBorder="1" applyAlignment="1">
      <alignment horizontal="justify" vertical="center" wrapText="1"/>
    </xf>
    <xf numFmtId="0" fontId="3" fillId="6" borderId="24" xfId="25" applyFont="1" applyFill="1" applyBorder="1" applyAlignment="1">
      <alignment horizontal="right" vertical="center"/>
    </xf>
    <xf numFmtId="0" fontId="3" fillId="6" borderId="13" xfId="25" applyFont="1" applyFill="1" applyBorder="1" applyAlignment="1">
      <alignment horizontal="right" vertical="center"/>
    </xf>
    <xf numFmtId="0" fontId="5" fillId="2" borderId="2" xfId="25" applyFont="1" applyFill="1" applyBorder="1" applyAlignment="1">
      <alignment horizontal="center" vertical="center" wrapText="1"/>
    </xf>
    <xf numFmtId="0" fontId="3" fillId="3" borderId="4" xfId="25" applyFont="1" applyFill="1" applyBorder="1" applyAlignment="1">
      <alignment horizontal="center" vertical="center"/>
    </xf>
    <xf numFmtId="0" fontId="3" fillId="3" borderId="5" xfId="25" applyFont="1" applyFill="1" applyBorder="1" applyAlignment="1">
      <alignment horizontal="center" vertical="center"/>
    </xf>
    <xf numFmtId="0" fontId="3" fillId="3" borderId="6" xfId="25" applyFont="1" applyFill="1" applyBorder="1" applyAlignment="1">
      <alignment horizontal="center" vertical="center"/>
    </xf>
    <xf numFmtId="0" fontId="3" fillId="4" borderId="4" xfId="25" applyFont="1" applyFill="1" applyBorder="1" applyAlignment="1">
      <alignment horizontal="center" vertical="center"/>
    </xf>
    <xf numFmtId="0" fontId="3" fillId="4" borderId="5" xfId="25" applyFont="1" applyFill="1" applyBorder="1" applyAlignment="1">
      <alignment horizontal="center" vertical="center"/>
    </xf>
    <xf numFmtId="0" fontId="3" fillId="5" borderId="9" xfId="25" applyFont="1" applyFill="1" applyBorder="1" applyAlignment="1">
      <alignment horizontal="center" vertical="center"/>
    </xf>
    <xf numFmtId="0" fontId="3" fillId="5" borderId="15" xfId="25" applyFont="1" applyFill="1" applyBorder="1" applyAlignment="1">
      <alignment horizontal="center" vertical="center"/>
    </xf>
    <xf numFmtId="166" fontId="3" fillId="5" borderId="10" xfId="25" applyNumberFormat="1" applyFont="1" applyFill="1" applyBorder="1" applyAlignment="1">
      <alignment horizontal="center" vertical="center"/>
    </xf>
    <xf numFmtId="166" fontId="3" fillId="5" borderId="16" xfId="25" applyNumberFormat="1" applyFont="1" applyFill="1" applyBorder="1" applyAlignment="1">
      <alignment horizontal="center" vertical="center"/>
    </xf>
    <xf numFmtId="0" fontId="3" fillId="6" borderId="14" xfId="25" applyFont="1" applyFill="1" applyBorder="1" applyAlignment="1">
      <alignment horizontal="center" vertical="center"/>
    </xf>
    <xf numFmtId="0" fontId="3" fillId="6" borderId="2" xfId="25" applyFont="1" applyFill="1" applyBorder="1" applyAlignment="1">
      <alignment horizontal="center" vertical="center"/>
    </xf>
    <xf numFmtId="0" fontId="3" fillId="0" borderId="2" xfId="25" applyFont="1" applyBorder="1" applyAlignment="1">
      <alignment horizontal="center" vertical="center" wrapText="1"/>
    </xf>
    <xf numFmtId="0" fontId="4" fillId="0" borderId="2" xfId="25" applyFont="1" applyBorder="1" applyAlignment="1">
      <alignment horizontal="center" vertical="center" wrapText="1"/>
    </xf>
    <xf numFmtId="0" fontId="4" fillId="0" borderId="2" xfId="25" applyFont="1" applyBorder="1" applyAlignment="1">
      <alignment horizontal="center" vertical="center"/>
    </xf>
    <xf numFmtId="0" fontId="10" fillId="3" borderId="20" xfId="25" applyFont="1" applyFill="1" applyBorder="1" applyAlignment="1">
      <alignment horizontal="center" vertical="center"/>
    </xf>
    <xf numFmtId="0" fontId="10" fillId="3" borderId="21" xfId="25" applyFont="1" applyFill="1" applyBorder="1" applyAlignment="1">
      <alignment horizontal="center" vertical="center"/>
    </xf>
    <xf numFmtId="0" fontId="3" fillId="5" borderId="24" xfId="25" applyFont="1" applyFill="1" applyBorder="1" applyAlignment="1">
      <alignment horizontal="right" vertical="center"/>
    </xf>
    <xf numFmtId="0" fontId="3" fillId="5" borderId="13" xfId="25" applyFont="1" applyFill="1" applyBorder="1" applyAlignment="1">
      <alignment horizontal="right" vertical="center"/>
    </xf>
    <xf numFmtId="0" fontId="3" fillId="4" borderId="20" xfId="25" applyFont="1" applyFill="1" applyBorder="1" applyAlignment="1">
      <alignment horizontal="center" vertical="center"/>
    </xf>
    <xf numFmtId="0" fontId="3" fillId="4" borderId="21" xfId="25" applyFont="1" applyFill="1" applyBorder="1" applyAlignment="1">
      <alignment horizontal="center" vertical="center"/>
    </xf>
    <xf numFmtId="0" fontId="103" fillId="0" borderId="27" xfId="0" applyFont="1" applyBorder="1" applyAlignment="1">
      <alignment horizontal="center" vertical="center" wrapText="1"/>
    </xf>
    <xf numFmtId="0" fontId="103" fillId="0" borderId="28" xfId="0" applyFont="1" applyBorder="1" applyAlignment="1">
      <alignment horizontal="center" vertical="center" wrapText="1"/>
    </xf>
    <xf numFmtId="0" fontId="103" fillId="0" borderId="29" xfId="0" applyFont="1" applyBorder="1" applyAlignment="1">
      <alignment horizontal="center" vertical="center" wrapText="1"/>
    </xf>
    <xf numFmtId="0" fontId="103" fillId="0" borderId="30" xfId="0" applyFont="1" applyBorder="1" applyAlignment="1">
      <alignment horizontal="center" vertical="center" wrapText="1"/>
    </xf>
    <xf numFmtId="0" fontId="102" fillId="0" borderId="11" xfId="0" applyFont="1" applyBorder="1" applyAlignment="1">
      <alignment horizontal="justify" vertical="center" wrapText="1"/>
    </xf>
    <xf numFmtId="0" fontId="102" fillId="0" borderId="13" xfId="0" applyFont="1" applyBorder="1" applyAlignment="1">
      <alignment horizontal="justify" vertical="center" wrapText="1"/>
    </xf>
    <xf numFmtId="0" fontId="3" fillId="6" borderId="24" xfId="26" applyFont="1" applyFill="1" applyBorder="1" applyAlignment="1">
      <alignment horizontal="right" vertical="center"/>
    </xf>
    <xf numFmtId="0" fontId="3" fillId="6" borderId="13" xfId="26" applyFont="1" applyFill="1" applyBorder="1" applyAlignment="1">
      <alignment horizontal="right" vertical="center"/>
    </xf>
    <xf numFmtId="0" fontId="5" fillId="2" borderId="2" xfId="26" applyFont="1" applyFill="1" applyBorder="1" applyAlignment="1">
      <alignment horizontal="center" vertical="center" wrapText="1"/>
    </xf>
    <xf numFmtId="0" fontId="3" fillId="3" borderId="4" xfId="26" applyFont="1" applyFill="1" applyBorder="1" applyAlignment="1">
      <alignment horizontal="center" vertical="center"/>
    </xf>
    <xf numFmtId="0" fontId="3" fillId="3" borderId="5" xfId="26" applyFont="1" applyFill="1" applyBorder="1" applyAlignment="1">
      <alignment horizontal="center" vertical="center"/>
    </xf>
    <xf numFmtId="0" fontId="3" fillId="3" borderId="6" xfId="26" applyFont="1" applyFill="1" applyBorder="1" applyAlignment="1">
      <alignment horizontal="center" vertical="center"/>
    </xf>
    <xf numFmtId="0" fontId="3" fillId="4" borderId="4" xfId="26" applyFont="1" applyFill="1" applyBorder="1" applyAlignment="1">
      <alignment horizontal="center" vertical="center"/>
    </xf>
    <xf numFmtId="0" fontId="3" fillId="4" borderId="5" xfId="26" applyFont="1" applyFill="1" applyBorder="1" applyAlignment="1">
      <alignment horizontal="center" vertical="center"/>
    </xf>
    <xf numFmtId="0" fontId="3" fillId="5" borderId="9" xfId="26" applyFont="1" applyFill="1" applyBorder="1" applyAlignment="1">
      <alignment horizontal="center" vertical="center"/>
    </xf>
    <xf numFmtId="0" fontId="3" fillId="5" borderId="15" xfId="26" applyFont="1" applyFill="1" applyBorder="1" applyAlignment="1">
      <alignment horizontal="center" vertical="center"/>
    </xf>
    <xf numFmtId="166" fontId="3" fillId="5" borderId="10" xfId="26" applyNumberFormat="1" applyFont="1" applyFill="1" applyBorder="1" applyAlignment="1">
      <alignment horizontal="center" vertical="center"/>
    </xf>
    <xf numFmtId="166" fontId="3" fillId="5" borderId="16" xfId="26" applyNumberFormat="1" applyFont="1" applyFill="1" applyBorder="1" applyAlignment="1">
      <alignment horizontal="center" vertical="center"/>
    </xf>
    <xf numFmtId="0" fontId="3" fillId="6" borderId="14" xfId="26" applyFont="1" applyFill="1" applyBorder="1" applyAlignment="1">
      <alignment horizontal="center" vertical="center"/>
    </xf>
    <xf numFmtId="0" fontId="3" fillId="6" borderId="2" xfId="26" applyFont="1" applyFill="1" applyBorder="1" applyAlignment="1">
      <alignment horizontal="center" vertical="center"/>
    </xf>
    <xf numFmtId="0" fontId="3" fillId="0" borderId="2" xfId="26" applyFont="1" applyBorder="1" applyAlignment="1">
      <alignment horizontal="center" vertical="center" wrapText="1"/>
    </xf>
    <xf numFmtId="0" fontId="4" fillId="0" borderId="2" xfId="26" applyFont="1" applyBorder="1" applyAlignment="1">
      <alignment horizontal="center" vertical="center" wrapText="1"/>
    </xf>
    <xf numFmtId="0" fontId="4" fillId="0" borderId="2" xfId="26" applyFont="1" applyBorder="1" applyAlignment="1">
      <alignment horizontal="center" vertical="center"/>
    </xf>
    <xf numFmtId="0" fontId="10" fillId="3" borderId="20" xfId="26" applyFont="1" applyFill="1" applyBorder="1" applyAlignment="1">
      <alignment horizontal="center" vertical="center"/>
    </xf>
    <xf numFmtId="0" fontId="10" fillId="3" borderId="21" xfId="26" applyFont="1" applyFill="1" applyBorder="1" applyAlignment="1">
      <alignment horizontal="center" vertical="center"/>
    </xf>
    <xf numFmtId="0" fontId="3" fillId="5" borderId="24" xfId="26" applyFont="1" applyFill="1" applyBorder="1" applyAlignment="1">
      <alignment horizontal="right" vertical="center"/>
    </xf>
    <xf numFmtId="0" fontId="3" fillId="5" borderId="13" xfId="26" applyFont="1" applyFill="1" applyBorder="1" applyAlignment="1">
      <alignment horizontal="right" vertical="center"/>
    </xf>
    <xf numFmtId="0" fontId="3" fillId="4" borderId="20" xfId="26" applyFont="1" applyFill="1" applyBorder="1" applyAlignment="1">
      <alignment horizontal="center" vertical="center"/>
    </xf>
    <xf numFmtId="0" fontId="3" fillId="4" borderId="21" xfId="26" applyFont="1" applyFill="1" applyBorder="1" applyAlignment="1">
      <alignment horizontal="center" vertical="center"/>
    </xf>
    <xf numFmtId="166" fontId="78" fillId="0" borderId="2" xfId="28" applyNumberFormat="1" applyFont="1" applyBorder="1" applyAlignment="1">
      <alignment horizontal="center" vertical="center"/>
    </xf>
    <xf numFmtId="166" fontId="4" fillId="0" borderId="11" xfId="26" applyNumberFormat="1" applyFont="1" applyBorder="1" applyAlignment="1">
      <alignment horizontal="justify" vertical="center"/>
    </xf>
    <xf numFmtId="166" fontId="4" fillId="0" borderId="24" xfId="26" applyNumberFormat="1" applyFont="1" applyBorder="1" applyAlignment="1">
      <alignment horizontal="justify" vertical="center"/>
    </xf>
    <xf numFmtId="166" fontId="4" fillId="0" borderId="13" xfId="26" applyNumberFormat="1" applyFont="1" applyBorder="1" applyAlignment="1">
      <alignment horizontal="justify" vertical="center"/>
    </xf>
    <xf numFmtId="166" fontId="4" fillId="0" borderId="11" xfId="26" applyNumberFormat="1" applyFont="1" applyBorder="1" applyAlignment="1">
      <alignment horizontal="justify" vertical="center" wrapText="1"/>
    </xf>
    <xf numFmtId="166" fontId="4" fillId="0" borderId="24" xfId="26" applyNumberFormat="1" applyFont="1" applyBorder="1" applyAlignment="1">
      <alignment horizontal="justify" vertical="center" wrapText="1"/>
    </xf>
    <xf numFmtId="166" fontId="4" fillId="0" borderId="13" xfId="26" applyNumberFormat="1" applyFont="1" applyBorder="1" applyAlignment="1">
      <alignment horizontal="justify" vertical="center" wrapText="1"/>
    </xf>
    <xf numFmtId="0" fontId="3" fillId="26" borderId="11" xfId="27" applyFont="1" applyFill="1" applyBorder="1" applyAlignment="1">
      <alignment horizontal="center" vertical="center"/>
    </xf>
    <xf numFmtId="0" fontId="3" fillId="26" borderId="24" xfId="27" applyFont="1" applyFill="1" applyBorder="1" applyAlignment="1">
      <alignment horizontal="center" vertical="center"/>
    </xf>
    <xf numFmtId="0" fontId="3" fillId="26" borderId="13" xfId="27" applyFont="1" applyFill="1" applyBorder="1" applyAlignment="1">
      <alignment horizontal="center" vertical="center"/>
    </xf>
    <xf numFmtId="166" fontId="77" fillId="18" borderId="2" xfId="28" applyNumberFormat="1" applyFont="1" applyFill="1" applyBorder="1" applyAlignment="1">
      <alignment horizontal="center" vertical="center"/>
    </xf>
    <xf numFmtId="166" fontId="4" fillId="0" borderId="2" xfId="27" applyNumberFormat="1" applyFont="1" applyBorder="1" applyAlignment="1">
      <alignment horizontal="center" vertical="center"/>
    </xf>
    <xf numFmtId="166" fontId="3" fillId="0" borderId="2" xfId="27" applyNumberFormat="1" applyFont="1" applyBorder="1" applyAlignment="1">
      <alignment horizontal="center" vertical="center"/>
    </xf>
    <xf numFmtId="166" fontId="80" fillId="7" borderId="2" xfId="27" applyNumberFormat="1" applyFont="1" applyFill="1" applyBorder="1" applyAlignment="1">
      <alignment horizontal="center" vertical="center"/>
    </xf>
    <xf numFmtId="166" fontId="4" fillId="22" borderId="2" xfId="27" applyNumberFormat="1" applyFont="1" applyFill="1" applyBorder="1" applyAlignment="1">
      <alignment horizontal="center" vertical="center"/>
    </xf>
    <xf numFmtId="166" fontId="4" fillId="14" borderId="2" xfId="27" applyNumberFormat="1" applyFont="1" applyFill="1" applyBorder="1" applyAlignment="1">
      <alignment horizontal="center" vertical="center"/>
    </xf>
  </cellXfs>
  <cellStyles count="41">
    <cellStyle name="Moeda" xfId="22" builtinId="4"/>
    <cellStyle name="Moeda 2" xfId="3" xr:uid="{00000000-0005-0000-0000-000000000000}"/>
    <cellStyle name="Moeda 2 2" xfId="17" xr:uid="{B5FD45A5-1BDD-4AD1-9C96-E2C3E9F25554}"/>
    <cellStyle name="Moeda 2 2 2" xfId="21" xr:uid="{9D7454EC-ABE6-47F8-9225-2692849AD53C}"/>
    <cellStyle name="Moeda 4" xfId="11" xr:uid="{47389FB0-6E04-4776-9D9E-1F2385CD9AB6}"/>
    <cellStyle name="Normal" xfId="0" builtinId="0"/>
    <cellStyle name="Normal 11 2 2" xfId="31" xr:uid="{158C6143-7788-4587-95E6-96B36516CCC2}"/>
    <cellStyle name="Normal 12" xfId="4" xr:uid="{00000000-0005-0000-0000-000002000000}"/>
    <cellStyle name="Normal 2" xfId="29" xr:uid="{FA392328-6EE7-4519-BE2C-C4B077E60798}"/>
    <cellStyle name="Normal 2 2 2 2" xfId="6" xr:uid="{00000000-0005-0000-0000-000003000000}"/>
    <cellStyle name="Normal 2 3" xfId="19" xr:uid="{6CB8232C-73AC-437E-84E2-49A1877510B6}"/>
    <cellStyle name="Normal 2 4 2" xfId="30" xr:uid="{A6E3AE87-7B68-4D08-9D7C-62021B35A9E4}"/>
    <cellStyle name="Normal 2 5" xfId="2" xr:uid="{00000000-0005-0000-0000-000004000000}"/>
    <cellStyle name="Normal 2 5 2" xfId="10" xr:uid="{A479A2B6-D2D9-4EE4-B7E8-0126015BBBD2}"/>
    <cellStyle name="Normal 2 5 2 2 2" xfId="15" xr:uid="{8F3978E2-F5B6-460B-BF0F-F51C199079C6}"/>
    <cellStyle name="Normal 2 5 2 2 2 2 2" xfId="35" xr:uid="{47B0B287-08EB-4AFC-8BEB-021BB71D67B6}"/>
    <cellStyle name="Normal 2 5 2 3 2" xfId="39" xr:uid="{0487ADD3-3158-4141-8957-F4BEC8E4E4D3}"/>
    <cellStyle name="Normal 2 6" xfId="7" xr:uid="{00000000-0005-0000-0000-000005000000}"/>
    <cellStyle name="Normal 2 9" xfId="9" xr:uid="{AD4A0778-7E28-42B7-9D65-CE2FB56F4A26}"/>
    <cellStyle name="Normal 2 9 2" xfId="20" xr:uid="{371A763E-658D-4EE2-B192-C039CC1FE5FF}"/>
    <cellStyle name="Normal 2 9 2 2" xfId="37" xr:uid="{78828449-24F6-4732-8F4D-126AA4124BF5}"/>
    <cellStyle name="Normal 2 9 2 3" xfId="34" xr:uid="{955B274B-CF06-46E5-BBE7-19D0C5D9CFEB}"/>
    <cellStyle name="Normal 2 9 3 2" xfId="38" xr:uid="{564DA8E6-3856-487C-896A-9826B90A105E}"/>
    <cellStyle name="Normal 3" xfId="5" xr:uid="{00000000-0005-0000-0000-000006000000}"/>
    <cellStyle name="Normal 3 2" xfId="32" xr:uid="{CB66F21F-7CB7-47D8-A16A-DE65D9A6EE25}"/>
    <cellStyle name="Normal 3 2 3" xfId="40" xr:uid="{64389A0C-1308-4DAC-B2C9-B0A6B20DB92C}"/>
    <cellStyle name="Normal 4" xfId="36" xr:uid="{A73649A7-F2A4-4A19-A963-FF3C0BD69481}"/>
    <cellStyle name="Normal 4 2" xfId="24" xr:uid="{4CB40672-F7DE-4023-9372-E19A0C875E32}"/>
    <cellStyle name="Normal 5 3 2" xfId="28" xr:uid="{56E17B53-4362-4BF4-9F46-06312C06ED5E}"/>
    <cellStyle name="Normal 6 4" xfId="1" xr:uid="{00000000-0005-0000-0000-000007000000}"/>
    <cellStyle name="Normal 6 4 2" xfId="25" xr:uid="{9800D6A3-DD00-419C-A413-50A9CB8328B4}"/>
    <cellStyle name="Normal 6 4 2 2" xfId="26" xr:uid="{2C334D53-88F3-474A-B2D0-FEA7BB27E2BD}"/>
    <cellStyle name="Normal 6 4 3 2" xfId="27" xr:uid="{46C94522-A082-459E-A626-8007872D7B5F}"/>
    <cellStyle name="Normal 7 2" xfId="13" xr:uid="{44BF2A0A-7D86-448A-8199-84E49389E18B}"/>
    <cellStyle name="Normal 8" xfId="33" xr:uid="{9FB1ED6B-3093-4B74-B816-0340D3A1EF97}"/>
    <cellStyle name="Normal_Planilha em Proposta 123 de 2003" xfId="12" xr:uid="{97BF3C93-B5C0-48E4-AA42-9F31DF33AB4A}"/>
    <cellStyle name="Porcentagem 2 2" xfId="14" xr:uid="{DC3F2E22-75B6-42D8-9AB4-5D62BE511C91}"/>
    <cellStyle name="Porcentagem 3" xfId="23" xr:uid="{6E5AF781-B829-4AAB-A00F-7B3B07BE5034}"/>
    <cellStyle name="Porcentagem 5 2" xfId="18" xr:uid="{A95440DA-8E48-492C-81A4-5509DA8FD516}"/>
    <cellStyle name="TableStyleLight1" xfId="8" xr:uid="{00000000-0005-0000-0000-000008000000}"/>
    <cellStyle name="Vírgula 2 2 2" xfId="16" xr:uid="{0CFEDD59-EF9B-4FAC-8EDD-5F60AD4AE285}"/>
  </cellStyles>
  <dxfs count="9">
    <dxf>
      <fill>
        <patternFill>
          <bgColor rgb="FF92D050"/>
        </patternFill>
      </fill>
    </dxf>
    <dxf>
      <fill>
        <patternFill>
          <bgColor rgb="FF7030A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5DCEC-756E-4123-B8A9-F36EA76A8D35}">
  <sheetPr>
    <tabColor rgb="FFFF0000"/>
  </sheetPr>
  <dimension ref="B2:IA18"/>
  <sheetViews>
    <sheetView showGridLines="0" zoomScale="90" zoomScaleNormal="90" zoomScaleSheetLayoutView="110" workbookViewId="0">
      <selection activeCell="D9" sqref="D9"/>
    </sheetView>
  </sheetViews>
  <sheetFormatPr defaultColWidth="9.7109375" defaultRowHeight="18"/>
  <cols>
    <col min="1" max="1" width="5.28515625" style="360" customWidth="1"/>
    <col min="2" max="2" width="16.5703125" style="359" bestFit="1" customWidth="1"/>
    <col min="3" max="3" width="16.7109375" style="359" bestFit="1" customWidth="1"/>
    <col min="4" max="4" width="22.140625" style="359" customWidth="1"/>
    <col min="5" max="5" width="21" style="359" customWidth="1"/>
    <col min="6" max="7" width="24.7109375" style="359" customWidth="1"/>
    <col min="8" max="9" width="16.42578125" style="359" bestFit="1" customWidth="1"/>
    <col min="10" max="10" width="33.5703125" style="359" bestFit="1" customWidth="1"/>
    <col min="11" max="11" width="23.28515625" style="359" bestFit="1" customWidth="1"/>
    <col min="12" max="12" width="36" style="359" customWidth="1"/>
    <col min="13" max="13" width="24.85546875" style="359" customWidth="1"/>
    <col min="14" max="235" width="9.7109375" style="359"/>
    <col min="236" max="16384" width="9.7109375" style="360"/>
  </cols>
  <sheetData>
    <row r="2" spans="2:235">
      <c r="HZ2" s="360"/>
      <c r="IA2" s="360"/>
    </row>
    <row r="3" spans="2:235">
      <c r="I3" s="361"/>
      <c r="J3" s="361"/>
      <c r="K3" s="361"/>
    </row>
    <row r="4" spans="2:235">
      <c r="L4" s="362"/>
      <c r="IA4" s="360"/>
    </row>
    <row r="5" spans="2:235" s="364" customFormat="1" ht="21.75" customHeight="1">
      <c r="B5" s="610" t="s">
        <v>668</v>
      </c>
      <c r="C5" s="611"/>
      <c r="D5" s="611"/>
      <c r="E5" s="611"/>
      <c r="F5" s="611"/>
      <c r="G5" s="611"/>
      <c r="H5" s="611"/>
      <c r="I5" s="611"/>
      <c r="J5" s="611"/>
      <c r="K5" s="612"/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  <c r="AB5" s="363"/>
      <c r="AC5" s="363"/>
      <c r="AD5" s="363"/>
      <c r="AE5" s="363"/>
      <c r="AF5" s="363"/>
      <c r="AG5" s="363"/>
      <c r="AH5" s="363"/>
      <c r="AI5" s="363"/>
      <c r="AJ5" s="363"/>
      <c r="AK5" s="363"/>
      <c r="AL5" s="363"/>
      <c r="AM5" s="363"/>
      <c r="AN5" s="363"/>
      <c r="AO5" s="363"/>
      <c r="AP5" s="363"/>
      <c r="AQ5" s="363"/>
      <c r="AR5" s="363"/>
      <c r="AS5" s="363"/>
      <c r="AT5" s="363"/>
      <c r="AU5" s="363"/>
      <c r="AV5" s="363"/>
      <c r="AW5" s="363"/>
      <c r="AX5" s="363"/>
      <c r="AY5" s="363"/>
      <c r="AZ5" s="363"/>
      <c r="BA5" s="363"/>
      <c r="BB5" s="363"/>
      <c r="BC5" s="363"/>
      <c r="BD5" s="363"/>
      <c r="BE5" s="363"/>
      <c r="BF5" s="363"/>
      <c r="BG5" s="363"/>
      <c r="BH5" s="363"/>
      <c r="BI5" s="363"/>
      <c r="BJ5" s="363"/>
      <c r="BK5" s="363"/>
      <c r="BL5" s="363"/>
      <c r="BM5" s="363"/>
      <c r="BN5" s="363"/>
      <c r="BO5" s="363"/>
      <c r="BP5" s="363"/>
      <c r="BQ5" s="363"/>
      <c r="BR5" s="363"/>
      <c r="BS5" s="363"/>
      <c r="BT5" s="363"/>
      <c r="BU5" s="363"/>
      <c r="BV5" s="363"/>
      <c r="BW5" s="363"/>
      <c r="BX5" s="363"/>
      <c r="BY5" s="363"/>
      <c r="BZ5" s="363"/>
      <c r="CA5" s="363"/>
      <c r="CB5" s="363"/>
      <c r="CC5" s="363"/>
      <c r="CD5" s="363"/>
      <c r="CE5" s="363"/>
      <c r="CF5" s="363"/>
      <c r="CG5" s="363"/>
      <c r="CH5" s="363"/>
      <c r="CI5" s="363"/>
      <c r="CJ5" s="363"/>
      <c r="CK5" s="363"/>
      <c r="CL5" s="363"/>
      <c r="CM5" s="363"/>
      <c r="CN5" s="363"/>
      <c r="CO5" s="363"/>
      <c r="CP5" s="363"/>
      <c r="CQ5" s="363"/>
      <c r="CR5" s="363"/>
      <c r="CS5" s="363"/>
      <c r="CT5" s="363"/>
      <c r="CU5" s="363"/>
      <c r="CV5" s="363"/>
      <c r="CW5" s="363"/>
      <c r="CX5" s="363"/>
      <c r="CY5" s="363"/>
      <c r="CZ5" s="363"/>
      <c r="DA5" s="363"/>
      <c r="DB5" s="363"/>
      <c r="DC5" s="363"/>
      <c r="DD5" s="363"/>
      <c r="DE5" s="363"/>
      <c r="DF5" s="363"/>
      <c r="DG5" s="363"/>
      <c r="DH5" s="363"/>
      <c r="DI5" s="363"/>
      <c r="DJ5" s="363"/>
      <c r="DK5" s="363"/>
      <c r="DL5" s="363"/>
      <c r="DM5" s="363"/>
      <c r="DN5" s="363"/>
      <c r="DO5" s="363"/>
      <c r="DP5" s="363"/>
      <c r="DQ5" s="363"/>
      <c r="DR5" s="363"/>
      <c r="DS5" s="363"/>
      <c r="DT5" s="363"/>
      <c r="DU5" s="363"/>
      <c r="DV5" s="363"/>
      <c r="DW5" s="363"/>
      <c r="DX5" s="363"/>
      <c r="DY5" s="363"/>
      <c r="DZ5" s="363"/>
      <c r="EA5" s="363"/>
      <c r="EB5" s="363"/>
      <c r="EC5" s="363"/>
      <c r="ED5" s="363"/>
      <c r="EE5" s="363"/>
      <c r="EF5" s="363"/>
      <c r="EG5" s="363"/>
      <c r="EH5" s="363"/>
      <c r="EI5" s="363"/>
      <c r="EJ5" s="363"/>
      <c r="EK5" s="363"/>
      <c r="EL5" s="363"/>
      <c r="EM5" s="363"/>
      <c r="EN5" s="363"/>
      <c r="EO5" s="363"/>
      <c r="EP5" s="363"/>
      <c r="EQ5" s="363"/>
      <c r="ER5" s="363"/>
      <c r="ES5" s="363"/>
      <c r="ET5" s="363"/>
      <c r="EU5" s="363"/>
      <c r="EV5" s="363"/>
      <c r="EW5" s="363"/>
      <c r="EX5" s="363"/>
      <c r="EY5" s="363"/>
      <c r="EZ5" s="363"/>
      <c r="FA5" s="363"/>
      <c r="FB5" s="363"/>
      <c r="FC5" s="363"/>
      <c r="FD5" s="363"/>
      <c r="FE5" s="363"/>
      <c r="FF5" s="363"/>
      <c r="FG5" s="363"/>
      <c r="FH5" s="363"/>
      <c r="FI5" s="363"/>
      <c r="FJ5" s="363"/>
      <c r="FK5" s="363"/>
      <c r="FL5" s="363"/>
      <c r="FM5" s="363"/>
      <c r="FN5" s="363"/>
      <c r="FO5" s="363"/>
      <c r="FP5" s="363"/>
      <c r="FQ5" s="363"/>
      <c r="FR5" s="363"/>
      <c r="FS5" s="363"/>
      <c r="FT5" s="363"/>
      <c r="FU5" s="363"/>
      <c r="FV5" s="363"/>
      <c r="FW5" s="363"/>
      <c r="FX5" s="363"/>
      <c r="FY5" s="363"/>
      <c r="FZ5" s="363"/>
      <c r="GA5" s="363"/>
      <c r="GB5" s="363"/>
      <c r="GC5" s="363"/>
      <c r="GD5" s="363"/>
      <c r="GE5" s="363"/>
      <c r="GF5" s="363"/>
      <c r="GG5" s="363"/>
      <c r="GH5" s="363"/>
      <c r="GI5" s="363"/>
      <c r="GJ5" s="363"/>
      <c r="GK5" s="363"/>
      <c r="GL5" s="363"/>
      <c r="GM5" s="363"/>
      <c r="GN5" s="363"/>
      <c r="GO5" s="363"/>
      <c r="GP5" s="363"/>
      <c r="GQ5" s="363"/>
      <c r="GR5" s="363"/>
      <c r="GS5" s="363"/>
      <c r="GT5" s="363"/>
      <c r="GU5" s="363"/>
      <c r="GV5" s="363"/>
      <c r="GW5" s="363"/>
      <c r="GX5" s="363"/>
      <c r="GY5" s="363"/>
      <c r="GZ5" s="363"/>
      <c r="HA5" s="363"/>
      <c r="HB5" s="363"/>
      <c r="HC5" s="363"/>
      <c r="HD5" s="363"/>
      <c r="HE5" s="363"/>
      <c r="HF5" s="363"/>
      <c r="HG5" s="363"/>
      <c r="HH5" s="363"/>
      <c r="HI5" s="363"/>
      <c r="HJ5" s="363"/>
      <c r="HK5" s="363"/>
      <c r="HL5" s="363"/>
      <c r="HM5" s="363"/>
      <c r="HN5" s="363"/>
      <c r="HO5" s="363"/>
      <c r="HP5" s="363"/>
      <c r="HQ5" s="363"/>
      <c r="HR5" s="363"/>
      <c r="HS5" s="363"/>
      <c r="HT5" s="363"/>
      <c r="HU5" s="363"/>
    </row>
    <row r="6" spans="2:235" s="364" customFormat="1" ht="42" customHeight="1">
      <c r="B6" s="365" t="s">
        <v>669</v>
      </c>
      <c r="C6" s="366" t="s">
        <v>670</v>
      </c>
      <c r="D6" s="602" t="s">
        <v>1176</v>
      </c>
      <c r="E6" s="602" t="s">
        <v>1178</v>
      </c>
      <c r="F6" s="602" t="s">
        <v>1175</v>
      </c>
      <c r="G6" s="602" t="s">
        <v>1179</v>
      </c>
      <c r="H6" s="365" t="s">
        <v>671</v>
      </c>
      <c r="I6" s="365" t="s">
        <v>58</v>
      </c>
      <c r="J6" s="365" t="s">
        <v>672</v>
      </c>
      <c r="K6" s="365" t="s">
        <v>673</v>
      </c>
      <c r="L6" s="363"/>
      <c r="M6" s="363"/>
      <c r="N6" s="363"/>
      <c r="O6" s="363"/>
      <c r="P6" s="363"/>
      <c r="Q6" s="363"/>
      <c r="R6" s="363"/>
      <c r="S6" s="363"/>
      <c r="T6" s="363"/>
      <c r="U6" s="363"/>
      <c r="V6" s="363"/>
      <c r="W6" s="363"/>
      <c r="X6" s="363"/>
      <c r="Y6" s="363"/>
      <c r="Z6" s="363"/>
      <c r="AA6" s="363"/>
      <c r="AB6" s="363"/>
      <c r="AC6" s="363"/>
      <c r="AD6" s="363"/>
      <c r="AE6" s="363"/>
      <c r="AF6" s="363"/>
      <c r="AG6" s="363"/>
      <c r="AH6" s="363"/>
      <c r="AI6" s="363"/>
      <c r="AJ6" s="363"/>
      <c r="AK6" s="363"/>
      <c r="AL6" s="363"/>
      <c r="AM6" s="363"/>
      <c r="AN6" s="363"/>
      <c r="AO6" s="363"/>
      <c r="AP6" s="363"/>
      <c r="AQ6" s="363"/>
      <c r="AR6" s="363"/>
      <c r="AS6" s="363"/>
      <c r="AT6" s="363"/>
      <c r="AU6" s="363"/>
      <c r="AV6" s="363"/>
      <c r="AW6" s="363"/>
      <c r="AX6" s="363"/>
      <c r="AY6" s="363"/>
      <c r="AZ6" s="363"/>
      <c r="BA6" s="363"/>
      <c r="BB6" s="363"/>
      <c r="BC6" s="363"/>
      <c r="BD6" s="363"/>
      <c r="BE6" s="363"/>
      <c r="BF6" s="363"/>
      <c r="BG6" s="363"/>
      <c r="BH6" s="363"/>
      <c r="BI6" s="363"/>
      <c r="BJ6" s="363"/>
      <c r="BK6" s="363"/>
      <c r="BL6" s="363"/>
      <c r="BM6" s="363"/>
      <c r="BN6" s="363"/>
      <c r="BO6" s="363"/>
      <c r="BP6" s="363"/>
      <c r="BQ6" s="363"/>
      <c r="BR6" s="363"/>
      <c r="BS6" s="363"/>
      <c r="BT6" s="363"/>
      <c r="BU6" s="363"/>
      <c r="BV6" s="363"/>
      <c r="BW6" s="363"/>
      <c r="BX6" s="363"/>
      <c r="BY6" s="363"/>
      <c r="BZ6" s="363"/>
      <c r="CA6" s="363"/>
      <c r="CB6" s="363"/>
      <c r="CC6" s="363"/>
      <c r="CD6" s="363"/>
      <c r="CE6" s="363"/>
      <c r="CF6" s="363"/>
      <c r="CG6" s="363"/>
      <c r="CH6" s="363"/>
      <c r="CI6" s="363"/>
      <c r="CJ6" s="363"/>
      <c r="CK6" s="363"/>
      <c r="CL6" s="363"/>
      <c r="CM6" s="363"/>
      <c r="CN6" s="363"/>
      <c r="CO6" s="363"/>
      <c r="CP6" s="363"/>
      <c r="CQ6" s="363"/>
      <c r="CR6" s="363"/>
      <c r="CS6" s="363"/>
      <c r="CT6" s="363"/>
      <c r="CU6" s="363"/>
      <c r="CV6" s="363"/>
      <c r="CW6" s="363"/>
      <c r="CX6" s="363"/>
      <c r="CY6" s="363"/>
      <c r="CZ6" s="363"/>
      <c r="DA6" s="363"/>
      <c r="DB6" s="363"/>
      <c r="DC6" s="363"/>
      <c r="DD6" s="363"/>
      <c r="DE6" s="363"/>
      <c r="DF6" s="363"/>
      <c r="DG6" s="363"/>
      <c r="DH6" s="363"/>
      <c r="DI6" s="363"/>
      <c r="DJ6" s="363"/>
      <c r="DK6" s="363"/>
      <c r="DL6" s="363"/>
      <c r="DM6" s="363"/>
      <c r="DN6" s="363"/>
      <c r="DO6" s="363"/>
      <c r="DP6" s="363"/>
      <c r="DQ6" s="363"/>
      <c r="DR6" s="363"/>
      <c r="DS6" s="363"/>
      <c r="DT6" s="363"/>
      <c r="DU6" s="363"/>
      <c r="DV6" s="363"/>
      <c r="DW6" s="363"/>
      <c r="DX6" s="363"/>
      <c r="DY6" s="363"/>
      <c r="DZ6" s="363"/>
      <c r="EA6" s="363"/>
      <c r="EB6" s="363"/>
      <c r="EC6" s="363"/>
      <c r="ED6" s="363"/>
      <c r="EE6" s="363"/>
      <c r="EF6" s="363"/>
      <c r="EG6" s="363"/>
      <c r="EH6" s="363"/>
      <c r="EI6" s="363"/>
      <c r="EJ6" s="363"/>
      <c r="EK6" s="363"/>
      <c r="EL6" s="363"/>
      <c r="EM6" s="363"/>
      <c r="EN6" s="363"/>
      <c r="EO6" s="363"/>
      <c r="EP6" s="363"/>
      <c r="EQ6" s="363"/>
      <c r="ER6" s="363"/>
      <c r="ES6" s="363"/>
      <c r="ET6" s="363"/>
      <c r="EU6" s="363"/>
      <c r="EV6" s="363"/>
      <c r="EW6" s="363"/>
      <c r="EX6" s="363"/>
      <c r="EY6" s="363"/>
      <c r="EZ6" s="363"/>
      <c r="FA6" s="363"/>
      <c r="FB6" s="363"/>
      <c r="FC6" s="363"/>
      <c r="FD6" s="363"/>
      <c r="FE6" s="363"/>
      <c r="FF6" s="363"/>
      <c r="FG6" s="363"/>
      <c r="FH6" s="363"/>
      <c r="FI6" s="363"/>
      <c r="FJ6" s="363"/>
      <c r="FK6" s="363"/>
      <c r="FL6" s="363"/>
      <c r="FM6" s="363"/>
      <c r="FN6" s="363"/>
      <c r="FO6" s="363"/>
      <c r="FP6" s="363"/>
      <c r="FQ6" s="363"/>
      <c r="FR6" s="363"/>
      <c r="FS6" s="363"/>
      <c r="FT6" s="363"/>
      <c r="FU6" s="363"/>
      <c r="FV6" s="363"/>
      <c r="FW6" s="363"/>
      <c r="FX6" s="363"/>
      <c r="FY6" s="363"/>
      <c r="FZ6" s="363"/>
      <c r="GA6" s="363"/>
      <c r="GB6" s="363"/>
      <c r="GC6" s="363"/>
      <c r="GD6" s="363"/>
      <c r="GE6" s="363"/>
      <c r="GF6" s="363"/>
      <c r="GG6" s="363"/>
      <c r="GH6" s="363"/>
      <c r="GI6" s="363"/>
      <c r="GJ6" s="363"/>
      <c r="GK6" s="363"/>
      <c r="GL6" s="363"/>
      <c r="GM6" s="363"/>
      <c r="GN6" s="363"/>
      <c r="GO6" s="363"/>
      <c r="GP6" s="363"/>
      <c r="GQ6" s="363"/>
      <c r="GR6" s="363"/>
      <c r="GS6" s="363"/>
      <c r="GT6" s="363"/>
      <c r="GU6" s="363"/>
      <c r="GV6" s="363"/>
      <c r="GW6" s="363"/>
      <c r="GX6" s="363"/>
      <c r="GY6" s="363"/>
      <c r="GZ6" s="363"/>
      <c r="HA6" s="363"/>
      <c r="HB6" s="363"/>
      <c r="HC6" s="363"/>
      <c r="HD6" s="363"/>
      <c r="HE6" s="363"/>
      <c r="HF6" s="363"/>
      <c r="HG6" s="363"/>
      <c r="HH6" s="363"/>
      <c r="HI6" s="363"/>
      <c r="HJ6" s="363"/>
      <c r="HK6" s="363"/>
      <c r="HL6" s="363"/>
      <c r="HM6" s="363"/>
      <c r="HN6" s="363"/>
      <c r="HO6" s="363"/>
      <c r="HP6" s="363"/>
      <c r="HQ6" s="363"/>
      <c r="HR6" s="363"/>
      <c r="HS6" s="363"/>
      <c r="HT6" s="363"/>
      <c r="HU6" s="363"/>
      <c r="HV6" s="363"/>
      <c r="HW6" s="363"/>
    </row>
    <row r="7" spans="2:235" s="364" customFormat="1" ht="42" customHeight="1">
      <c r="B7" s="367" t="s">
        <v>675</v>
      </c>
      <c r="C7" s="368">
        <f>'RESUMO_Preços _2025'!H7</f>
        <v>12386.97</v>
      </c>
      <c r="D7" s="603">
        <v>11538.67</v>
      </c>
      <c r="E7" s="603">
        <f>8942.26/30*44</f>
        <v>13115.314666666667</v>
      </c>
      <c r="F7" s="603">
        <v>11755.02</v>
      </c>
      <c r="G7" s="603">
        <f>7785.29/30*44</f>
        <v>11418.425333333333</v>
      </c>
      <c r="H7" s="369">
        <f>AVERAGE(D7:G7)</f>
        <v>11956.8575</v>
      </c>
      <c r="I7" s="370">
        <f>MEDIAN(D7:G7)</f>
        <v>11646.845000000001</v>
      </c>
      <c r="J7" s="370">
        <f>SMALL(H7:I7,1)</f>
        <v>11646.845000000001</v>
      </c>
      <c r="K7" s="429">
        <f>C7-J7</f>
        <v>740.12499999999818</v>
      </c>
      <c r="L7" s="363"/>
      <c r="M7" s="363"/>
      <c r="N7" s="363"/>
      <c r="O7" s="363"/>
      <c r="P7" s="363"/>
      <c r="Q7" s="363"/>
      <c r="R7" s="363"/>
      <c r="S7" s="363"/>
      <c r="T7" s="363"/>
      <c r="U7" s="363"/>
      <c r="V7" s="363"/>
      <c r="W7" s="363"/>
      <c r="X7" s="363"/>
      <c r="Y7" s="363"/>
      <c r="Z7" s="363"/>
      <c r="AA7" s="363"/>
      <c r="AB7" s="363"/>
      <c r="AC7" s="363"/>
      <c r="AD7" s="363"/>
      <c r="AE7" s="363"/>
      <c r="AF7" s="363"/>
      <c r="AG7" s="363"/>
      <c r="AH7" s="363"/>
      <c r="AI7" s="363"/>
      <c r="AJ7" s="363"/>
      <c r="AK7" s="363"/>
      <c r="AL7" s="363"/>
      <c r="AM7" s="363"/>
      <c r="AN7" s="363"/>
      <c r="AO7" s="363"/>
      <c r="AP7" s="363"/>
      <c r="AQ7" s="363"/>
      <c r="AR7" s="363"/>
      <c r="AS7" s="363"/>
      <c r="AT7" s="363"/>
      <c r="AU7" s="363"/>
      <c r="AV7" s="363"/>
      <c r="AW7" s="363"/>
      <c r="AX7" s="363"/>
      <c r="AY7" s="363"/>
      <c r="AZ7" s="363"/>
      <c r="BA7" s="363"/>
      <c r="BB7" s="363"/>
      <c r="BC7" s="363"/>
      <c r="BD7" s="363"/>
      <c r="BE7" s="363"/>
      <c r="BF7" s="363"/>
      <c r="BG7" s="363"/>
      <c r="BH7" s="363"/>
      <c r="BI7" s="363"/>
      <c r="BJ7" s="363"/>
      <c r="BK7" s="363"/>
      <c r="BL7" s="363"/>
      <c r="BM7" s="363"/>
      <c r="BN7" s="363"/>
      <c r="BO7" s="363"/>
      <c r="BP7" s="363"/>
      <c r="BQ7" s="363"/>
      <c r="BR7" s="363"/>
      <c r="BS7" s="363"/>
      <c r="BT7" s="363"/>
      <c r="BU7" s="363"/>
      <c r="BV7" s="363"/>
      <c r="BW7" s="363"/>
      <c r="BX7" s="363"/>
      <c r="BY7" s="363"/>
      <c r="BZ7" s="363"/>
      <c r="CA7" s="363"/>
      <c r="CB7" s="363"/>
      <c r="CC7" s="363"/>
      <c r="CD7" s="363"/>
      <c r="CE7" s="363"/>
      <c r="CF7" s="363"/>
      <c r="CG7" s="363"/>
      <c r="CH7" s="363"/>
      <c r="CI7" s="363"/>
      <c r="CJ7" s="363"/>
      <c r="CK7" s="363"/>
      <c r="CL7" s="363"/>
      <c r="CM7" s="363"/>
      <c r="CN7" s="363"/>
      <c r="CO7" s="363"/>
      <c r="CP7" s="363"/>
      <c r="CQ7" s="363"/>
      <c r="CR7" s="363"/>
      <c r="CS7" s="363"/>
      <c r="CT7" s="363"/>
      <c r="CU7" s="363"/>
      <c r="CV7" s="363"/>
      <c r="CW7" s="363"/>
      <c r="CX7" s="363"/>
      <c r="CY7" s="363"/>
      <c r="CZ7" s="363"/>
      <c r="DA7" s="363"/>
      <c r="DB7" s="363"/>
      <c r="DC7" s="363"/>
      <c r="DD7" s="363"/>
      <c r="DE7" s="363"/>
      <c r="DF7" s="363"/>
      <c r="DG7" s="363"/>
      <c r="DH7" s="363"/>
      <c r="DI7" s="363"/>
      <c r="DJ7" s="363"/>
      <c r="DK7" s="363"/>
      <c r="DL7" s="363"/>
      <c r="DM7" s="363"/>
      <c r="DN7" s="363"/>
      <c r="DO7" s="363"/>
      <c r="DP7" s="363"/>
      <c r="DQ7" s="363"/>
      <c r="DR7" s="363"/>
      <c r="DS7" s="363"/>
      <c r="DT7" s="363"/>
      <c r="DU7" s="363"/>
      <c r="DV7" s="363"/>
      <c r="DW7" s="363"/>
      <c r="DX7" s="363"/>
      <c r="DY7" s="363"/>
      <c r="DZ7" s="363"/>
      <c r="EA7" s="363"/>
      <c r="EB7" s="363"/>
      <c r="EC7" s="363"/>
      <c r="ED7" s="363"/>
      <c r="EE7" s="363"/>
      <c r="EF7" s="363"/>
      <c r="EG7" s="363"/>
      <c r="EH7" s="363"/>
      <c r="EI7" s="363"/>
      <c r="EJ7" s="363"/>
      <c r="EK7" s="363"/>
      <c r="EL7" s="363"/>
      <c r="EM7" s="363"/>
      <c r="EN7" s="363"/>
      <c r="EO7" s="363"/>
      <c r="EP7" s="363"/>
      <c r="EQ7" s="363"/>
      <c r="ER7" s="363"/>
      <c r="ES7" s="363"/>
      <c r="ET7" s="363"/>
      <c r="EU7" s="363"/>
      <c r="EV7" s="363"/>
      <c r="EW7" s="363"/>
      <c r="EX7" s="363"/>
      <c r="EY7" s="363"/>
      <c r="EZ7" s="363"/>
      <c r="FA7" s="363"/>
      <c r="FB7" s="363"/>
      <c r="FC7" s="363"/>
      <c r="FD7" s="363"/>
      <c r="FE7" s="363"/>
      <c r="FF7" s="363"/>
      <c r="FG7" s="363"/>
      <c r="FH7" s="363"/>
      <c r="FI7" s="363"/>
      <c r="FJ7" s="363"/>
      <c r="FK7" s="363"/>
      <c r="FL7" s="363"/>
      <c r="FM7" s="363"/>
      <c r="FN7" s="363"/>
      <c r="FO7" s="363"/>
      <c r="FP7" s="363"/>
      <c r="FQ7" s="363"/>
      <c r="FR7" s="363"/>
      <c r="FS7" s="363"/>
      <c r="FT7" s="363"/>
      <c r="FU7" s="363"/>
      <c r="FV7" s="363"/>
      <c r="FW7" s="363"/>
      <c r="FX7" s="363"/>
      <c r="FY7" s="363"/>
      <c r="FZ7" s="363"/>
      <c r="GA7" s="363"/>
      <c r="GB7" s="363"/>
      <c r="GC7" s="363"/>
      <c r="GD7" s="363"/>
      <c r="GE7" s="363"/>
      <c r="GF7" s="363"/>
      <c r="GG7" s="363"/>
      <c r="GH7" s="363"/>
      <c r="GI7" s="363"/>
      <c r="GJ7" s="363"/>
      <c r="GK7" s="363"/>
      <c r="GL7" s="363"/>
      <c r="GM7" s="363"/>
      <c r="GN7" s="363"/>
      <c r="GO7" s="363"/>
      <c r="GP7" s="363"/>
      <c r="GQ7" s="363"/>
      <c r="GR7" s="363"/>
      <c r="GS7" s="363"/>
      <c r="GT7" s="363"/>
      <c r="GU7" s="363"/>
      <c r="GV7" s="363"/>
      <c r="GW7" s="363"/>
      <c r="GX7" s="363"/>
      <c r="GY7" s="363"/>
      <c r="GZ7" s="363"/>
      <c r="HA7" s="363"/>
      <c r="HB7" s="363"/>
      <c r="HC7" s="363"/>
      <c r="HD7" s="363"/>
      <c r="HE7" s="363"/>
      <c r="HF7" s="363"/>
      <c r="HG7" s="363"/>
      <c r="HH7" s="363"/>
      <c r="HI7" s="363"/>
      <c r="HJ7" s="363"/>
      <c r="HK7" s="363"/>
      <c r="HL7" s="363"/>
      <c r="HM7" s="363"/>
      <c r="HN7" s="363"/>
      <c r="HO7" s="363"/>
      <c r="HP7" s="363"/>
      <c r="HQ7" s="363"/>
      <c r="HR7" s="363"/>
      <c r="HS7" s="363"/>
      <c r="HT7" s="363"/>
      <c r="HU7" s="363"/>
      <c r="HV7" s="363"/>
      <c r="HW7" s="363"/>
    </row>
    <row r="8" spans="2:235" s="364" customFormat="1" ht="33" customHeight="1">
      <c r="B8" s="371"/>
      <c r="C8" s="372"/>
      <c r="D8" s="372"/>
      <c r="E8" s="372"/>
      <c r="F8" s="372"/>
      <c r="G8" s="372"/>
      <c r="H8" s="373"/>
      <c r="I8" s="373"/>
      <c r="J8" s="361"/>
      <c r="K8" s="361"/>
      <c r="L8" s="363"/>
      <c r="M8" s="363"/>
      <c r="N8" s="363"/>
      <c r="O8" s="363"/>
      <c r="P8" s="363"/>
      <c r="Q8" s="363"/>
      <c r="R8" s="363"/>
      <c r="S8" s="363"/>
      <c r="T8" s="363"/>
      <c r="U8" s="363"/>
      <c r="V8" s="363"/>
      <c r="W8" s="363"/>
      <c r="X8" s="363"/>
      <c r="Y8" s="363"/>
      <c r="Z8" s="363"/>
      <c r="AA8" s="363"/>
      <c r="AB8" s="363"/>
      <c r="AC8" s="363"/>
      <c r="AD8" s="363"/>
      <c r="AE8" s="363"/>
      <c r="AF8" s="363"/>
      <c r="AG8" s="363"/>
      <c r="AH8" s="363"/>
      <c r="AI8" s="363"/>
      <c r="AJ8" s="363"/>
      <c r="AK8" s="363"/>
      <c r="AL8" s="363"/>
      <c r="AM8" s="363"/>
      <c r="AN8" s="363"/>
      <c r="AO8" s="363"/>
      <c r="AP8" s="363"/>
      <c r="AQ8" s="363"/>
      <c r="AR8" s="363"/>
      <c r="AS8" s="363"/>
      <c r="AT8" s="363"/>
      <c r="AU8" s="363"/>
      <c r="AV8" s="363"/>
      <c r="AW8" s="363"/>
      <c r="AX8" s="363"/>
      <c r="AY8" s="363"/>
      <c r="AZ8" s="363"/>
      <c r="BA8" s="363"/>
      <c r="BB8" s="363"/>
      <c r="BC8" s="363"/>
      <c r="BD8" s="363"/>
      <c r="BE8" s="363"/>
      <c r="BF8" s="363"/>
      <c r="BG8" s="363"/>
      <c r="BH8" s="363"/>
      <c r="BI8" s="363"/>
      <c r="BJ8" s="363"/>
      <c r="BK8" s="363"/>
      <c r="BL8" s="363"/>
      <c r="BM8" s="363"/>
      <c r="BN8" s="363"/>
      <c r="BO8" s="363"/>
      <c r="BP8" s="363"/>
      <c r="BQ8" s="363"/>
      <c r="BR8" s="363"/>
      <c r="BS8" s="363"/>
      <c r="BT8" s="363"/>
      <c r="BU8" s="363"/>
      <c r="BV8" s="363"/>
      <c r="BW8" s="363"/>
      <c r="BX8" s="363"/>
      <c r="BY8" s="363"/>
      <c r="BZ8" s="363"/>
      <c r="CA8" s="363"/>
      <c r="CB8" s="363"/>
      <c r="CC8" s="363"/>
      <c r="CD8" s="363"/>
      <c r="CE8" s="363"/>
      <c r="CF8" s="363"/>
      <c r="CG8" s="363"/>
      <c r="CH8" s="363"/>
      <c r="CI8" s="363"/>
      <c r="CJ8" s="363"/>
      <c r="CK8" s="363"/>
      <c r="CL8" s="363"/>
      <c r="CM8" s="363"/>
      <c r="CN8" s="363"/>
      <c r="CO8" s="363"/>
      <c r="CP8" s="363"/>
      <c r="CQ8" s="363"/>
      <c r="CR8" s="363"/>
      <c r="CS8" s="363"/>
      <c r="CT8" s="363"/>
      <c r="CU8" s="363"/>
      <c r="CV8" s="363"/>
      <c r="CW8" s="363"/>
      <c r="CX8" s="363"/>
      <c r="CY8" s="363"/>
      <c r="CZ8" s="363"/>
      <c r="DA8" s="363"/>
      <c r="DB8" s="363"/>
      <c r="DC8" s="363"/>
      <c r="DD8" s="363"/>
      <c r="DE8" s="363"/>
      <c r="DF8" s="363"/>
      <c r="DG8" s="363"/>
      <c r="DH8" s="363"/>
      <c r="DI8" s="363"/>
      <c r="DJ8" s="363"/>
      <c r="DK8" s="363"/>
      <c r="DL8" s="363"/>
      <c r="DM8" s="363"/>
      <c r="DN8" s="363"/>
      <c r="DO8" s="363"/>
      <c r="DP8" s="363"/>
      <c r="DQ8" s="363"/>
      <c r="DR8" s="363"/>
      <c r="DS8" s="363"/>
      <c r="DT8" s="363"/>
      <c r="DU8" s="363"/>
      <c r="DV8" s="363"/>
      <c r="DW8" s="363"/>
      <c r="DX8" s="363"/>
      <c r="DY8" s="363"/>
      <c r="DZ8" s="363"/>
      <c r="EA8" s="363"/>
      <c r="EB8" s="363"/>
      <c r="EC8" s="363"/>
      <c r="ED8" s="363"/>
      <c r="EE8" s="363"/>
      <c r="EF8" s="363"/>
      <c r="EG8" s="363"/>
      <c r="EH8" s="363"/>
      <c r="EI8" s="363"/>
      <c r="EJ8" s="363"/>
      <c r="EK8" s="363"/>
      <c r="EL8" s="363"/>
      <c r="EM8" s="363"/>
      <c r="EN8" s="363"/>
      <c r="EO8" s="363"/>
      <c r="EP8" s="363"/>
      <c r="EQ8" s="363"/>
      <c r="ER8" s="363"/>
      <c r="ES8" s="363"/>
      <c r="ET8" s="363"/>
      <c r="EU8" s="363"/>
      <c r="EV8" s="363"/>
      <c r="EW8" s="363"/>
      <c r="EX8" s="363"/>
      <c r="EY8" s="363"/>
      <c r="EZ8" s="363"/>
      <c r="FA8" s="363"/>
      <c r="FB8" s="363"/>
      <c r="FC8" s="363"/>
      <c r="FD8" s="363"/>
      <c r="FE8" s="363"/>
      <c r="FF8" s="363"/>
      <c r="FG8" s="363"/>
      <c r="FH8" s="363"/>
      <c r="FI8" s="363"/>
      <c r="FJ8" s="363"/>
      <c r="FK8" s="363"/>
      <c r="FL8" s="363"/>
      <c r="FM8" s="363"/>
      <c r="FN8" s="363"/>
      <c r="FO8" s="363"/>
      <c r="FP8" s="363"/>
      <c r="FQ8" s="363"/>
      <c r="FR8" s="363"/>
      <c r="FS8" s="363"/>
      <c r="FT8" s="363"/>
      <c r="FU8" s="363"/>
      <c r="FV8" s="363"/>
      <c r="FW8" s="363"/>
      <c r="FX8" s="363"/>
      <c r="FY8" s="363"/>
      <c r="FZ8" s="363"/>
      <c r="GA8" s="363"/>
      <c r="GB8" s="363"/>
      <c r="GC8" s="363"/>
      <c r="GD8" s="363"/>
      <c r="GE8" s="363"/>
      <c r="GF8" s="363"/>
      <c r="GG8" s="363"/>
      <c r="GH8" s="363"/>
      <c r="GI8" s="363"/>
      <c r="GJ8" s="363"/>
      <c r="GK8" s="363"/>
      <c r="GL8" s="363"/>
      <c r="GM8" s="363"/>
      <c r="GN8" s="363"/>
      <c r="GO8" s="363"/>
      <c r="GP8" s="363"/>
      <c r="GQ8" s="363"/>
      <c r="GR8" s="363"/>
      <c r="GS8" s="363"/>
      <c r="GT8" s="363"/>
      <c r="GU8" s="363"/>
      <c r="GV8" s="363"/>
      <c r="GW8" s="363"/>
      <c r="GX8" s="363"/>
      <c r="GY8" s="363"/>
      <c r="GZ8" s="363"/>
      <c r="HA8" s="363"/>
      <c r="HB8" s="363"/>
      <c r="HC8" s="363"/>
      <c r="HD8" s="363"/>
      <c r="HE8" s="363"/>
      <c r="HF8" s="363"/>
      <c r="HG8" s="363"/>
      <c r="HH8" s="363"/>
      <c r="HI8" s="363"/>
      <c r="HJ8" s="363"/>
      <c r="HK8" s="363"/>
      <c r="HL8" s="363"/>
      <c r="HM8" s="363"/>
      <c r="HN8" s="363"/>
      <c r="HO8" s="363"/>
      <c r="HP8" s="363"/>
      <c r="HQ8" s="363"/>
      <c r="HR8" s="363"/>
      <c r="HS8" s="363"/>
      <c r="HT8" s="363"/>
      <c r="HU8" s="363"/>
      <c r="HV8" s="363"/>
      <c r="HW8" s="363"/>
      <c r="HX8" s="363"/>
      <c r="HY8" s="363"/>
    </row>
    <row r="9" spans="2:235" s="364" customFormat="1">
      <c r="B9" s="363"/>
      <c r="C9" s="374"/>
      <c r="D9" s="363"/>
      <c r="E9" s="363"/>
      <c r="F9" s="363"/>
      <c r="G9" s="363"/>
      <c r="H9" s="363"/>
      <c r="I9" s="363"/>
      <c r="J9" s="363"/>
      <c r="K9" s="363"/>
      <c r="L9" s="363"/>
      <c r="M9" s="363"/>
      <c r="N9" s="363"/>
      <c r="O9" s="363"/>
      <c r="P9" s="363"/>
      <c r="Q9" s="363"/>
      <c r="R9" s="363"/>
      <c r="S9" s="363"/>
      <c r="T9" s="363"/>
      <c r="U9" s="363"/>
      <c r="V9" s="363"/>
      <c r="W9" s="363"/>
      <c r="X9" s="363"/>
      <c r="Y9" s="363"/>
      <c r="Z9" s="363"/>
      <c r="AA9" s="363"/>
      <c r="AB9" s="363"/>
      <c r="AC9" s="363"/>
      <c r="AD9" s="363"/>
      <c r="AE9" s="363"/>
      <c r="AF9" s="363"/>
      <c r="AG9" s="363"/>
      <c r="AH9" s="363"/>
      <c r="AI9" s="363"/>
      <c r="AJ9" s="363"/>
      <c r="AK9" s="363"/>
      <c r="AL9" s="363"/>
      <c r="AM9" s="363"/>
      <c r="AN9" s="363"/>
      <c r="AO9" s="363"/>
      <c r="AP9" s="363"/>
      <c r="AQ9" s="363"/>
      <c r="AR9" s="363"/>
      <c r="AS9" s="363"/>
      <c r="AT9" s="363"/>
      <c r="AU9" s="363"/>
      <c r="AV9" s="363"/>
      <c r="AW9" s="363"/>
      <c r="AX9" s="363"/>
      <c r="AY9" s="363"/>
      <c r="AZ9" s="363"/>
      <c r="BA9" s="363"/>
      <c r="BB9" s="363"/>
      <c r="BC9" s="363"/>
      <c r="BD9" s="363"/>
      <c r="BE9" s="363"/>
      <c r="BF9" s="363"/>
      <c r="BG9" s="363"/>
      <c r="BH9" s="363"/>
      <c r="BI9" s="363"/>
      <c r="BJ9" s="363"/>
      <c r="BK9" s="363"/>
      <c r="BL9" s="363"/>
      <c r="BM9" s="363"/>
      <c r="BN9" s="363"/>
      <c r="BO9" s="363"/>
      <c r="BP9" s="363"/>
      <c r="BQ9" s="363"/>
      <c r="BR9" s="363"/>
      <c r="BS9" s="363"/>
      <c r="BT9" s="363"/>
      <c r="BU9" s="363"/>
      <c r="BV9" s="363"/>
      <c r="BW9" s="363"/>
      <c r="BX9" s="363"/>
      <c r="BY9" s="363"/>
      <c r="BZ9" s="363"/>
      <c r="CA9" s="363"/>
      <c r="CB9" s="363"/>
      <c r="CC9" s="363"/>
      <c r="CD9" s="363"/>
      <c r="CE9" s="363"/>
      <c r="CF9" s="363"/>
      <c r="CG9" s="363"/>
      <c r="CH9" s="363"/>
      <c r="CI9" s="363"/>
      <c r="CJ9" s="363"/>
      <c r="CK9" s="363"/>
      <c r="CL9" s="363"/>
      <c r="CM9" s="363"/>
      <c r="CN9" s="363"/>
      <c r="CO9" s="363"/>
      <c r="CP9" s="363"/>
      <c r="CQ9" s="363"/>
      <c r="CR9" s="363"/>
      <c r="CS9" s="363"/>
      <c r="CT9" s="363"/>
      <c r="CU9" s="363"/>
      <c r="CV9" s="363"/>
      <c r="CW9" s="363"/>
      <c r="CX9" s="363"/>
      <c r="CY9" s="363"/>
      <c r="CZ9" s="363"/>
      <c r="DA9" s="363"/>
      <c r="DB9" s="363"/>
      <c r="DC9" s="363"/>
      <c r="DD9" s="363"/>
      <c r="DE9" s="363"/>
      <c r="DF9" s="363"/>
      <c r="DG9" s="363"/>
      <c r="DH9" s="363"/>
      <c r="DI9" s="363"/>
      <c r="DJ9" s="363"/>
      <c r="DK9" s="363"/>
      <c r="DL9" s="363"/>
      <c r="DM9" s="363"/>
      <c r="DN9" s="363"/>
      <c r="DO9" s="363"/>
      <c r="DP9" s="363"/>
      <c r="DQ9" s="363"/>
      <c r="DR9" s="363"/>
      <c r="DS9" s="363"/>
      <c r="DT9" s="363"/>
      <c r="DU9" s="363"/>
      <c r="DV9" s="363"/>
      <c r="DW9" s="363"/>
      <c r="DX9" s="363"/>
      <c r="DY9" s="363"/>
      <c r="DZ9" s="363"/>
      <c r="EA9" s="363"/>
      <c r="EB9" s="363"/>
      <c r="EC9" s="363"/>
      <c r="ED9" s="363"/>
      <c r="EE9" s="363"/>
      <c r="EF9" s="363"/>
      <c r="EG9" s="363"/>
      <c r="EH9" s="363"/>
      <c r="EI9" s="363"/>
      <c r="EJ9" s="363"/>
      <c r="EK9" s="363"/>
      <c r="EL9" s="363"/>
      <c r="EM9" s="363"/>
      <c r="EN9" s="363"/>
      <c r="EO9" s="363"/>
      <c r="EP9" s="363"/>
      <c r="EQ9" s="363"/>
      <c r="ER9" s="363"/>
      <c r="ES9" s="363"/>
      <c r="ET9" s="363"/>
      <c r="EU9" s="363"/>
      <c r="EV9" s="363"/>
      <c r="EW9" s="363"/>
      <c r="EX9" s="363"/>
      <c r="EY9" s="363"/>
      <c r="EZ9" s="363"/>
      <c r="FA9" s="363"/>
      <c r="FB9" s="363"/>
      <c r="FC9" s="363"/>
      <c r="FD9" s="363"/>
      <c r="FE9" s="363"/>
      <c r="FF9" s="363"/>
      <c r="FG9" s="363"/>
      <c r="FH9" s="363"/>
      <c r="FI9" s="363"/>
      <c r="FJ9" s="363"/>
      <c r="FK9" s="363"/>
      <c r="FL9" s="363"/>
      <c r="FM9" s="363"/>
      <c r="FN9" s="363"/>
      <c r="FO9" s="363"/>
      <c r="FP9" s="363"/>
      <c r="FQ9" s="363"/>
      <c r="FR9" s="363"/>
      <c r="FS9" s="363"/>
      <c r="FT9" s="363"/>
      <c r="FU9" s="363"/>
      <c r="FV9" s="363"/>
      <c r="FW9" s="363"/>
      <c r="FX9" s="363"/>
      <c r="FY9" s="363"/>
      <c r="FZ9" s="363"/>
      <c r="GA9" s="363"/>
      <c r="GB9" s="363"/>
      <c r="GC9" s="363"/>
      <c r="GD9" s="363"/>
      <c r="GE9" s="363"/>
      <c r="GF9" s="363"/>
      <c r="GG9" s="363"/>
      <c r="GH9" s="363"/>
      <c r="GI9" s="363"/>
      <c r="GJ9" s="363"/>
      <c r="GK9" s="363"/>
      <c r="GL9" s="363"/>
      <c r="GM9" s="363"/>
      <c r="GN9" s="363"/>
      <c r="GO9" s="363"/>
      <c r="GP9" s="363"/>
      <c r="GQ9" s="363"/>
      <c r="GR9" s="363"/>
      <c r="GS9" s="363"/>
      <c r="GT9" s="363"/>
      <c r="GU9" s="363"/>
      <c r="GV9" s="363"/>
      <c r="GW9" s="363"/>
      <c r="GX9" s="363"/>
      <c r="GY9" s="363"/>
      <c r="GZ9" s="363"/>
      <c r="HA9" s="363"/>
      <c r="HB9" s="363"/>
      <c r="HC9" s="363"/>
      <c r="HD9" s="363"/>
      <c r="HE9" s="363"/>
      <c r="HF9" s="363"/>
      <c r="HG9" s="363"/>
      <c r="HH9" s="363"/>
      <c r="HI9" s="363"/>
      <c r="HJ9" s="363"/>
      <c r="HK9" s="363"/>
      <c r="HL9" s="363"/>
      <c r="HM9" s="363"/>
      <c r="HN9" s="363"/>
      <c r="HO9" s="363"/>
      <c r="HP9" s="363"/>
      <c r="HQ9" s="363"/>
      <c r="HR9" s="363"/>
      <c r="HS9" s="363"/>
      <c r="HT9" s="363"/>
      <c r="HU9" s="363"/>
      <c r="HV9" s="363"/>
      <c r="HW9" s="363"/>
      <c r="HX9" s="363"/>
      <c r="HY9" s="363"/>
    </row>
    <row r="10" spans="2:235" s="364" customFormat="1" ht="32.25" customHeight="1">
      <c r="B10" s="375" t="s">
        <v>608</v>
      </c>
      <c r="C10" s="154"/>
      <c r="D10" s="153"/>
      <c r="E10" s="153"/>
      <c r="F10" s="153"/>
      <c r="G10" s="153"/>
      <c r="H10" s="153"/>
      <c r="I10" s="153"/>
      <c r="J10" s="153"/>
      <c r="K10" s="153"/>
      <c r="L10" s="363"/>
      <c r="M10" s="363"/>
      <c r="N10" s="363"/>
      <c r="O10" s="363"/>
      <c r="P10" s="363"/>
      <c r="Q10" s="363"/>
      <c r="R10" s="363"/>
      <c r="S10" s="363"/>
      <c r="T10" s="363"/>
      <c r="U10" s="363"/>
      <c r="V10" s="363"/>
      <c r="W10" s="363"/>
      <c r="X10" s="363"/>
      <c r="Y10" s="363"/>
      <c r="Z10" s="363"/>
      <c r="AA10" s="363"/>
      <c r="AB10" s="363"/>
      <c r="AC10" s="363"/>
      <c r="AD10" s="363"/>
      <c r="AE10" s="363"/>
      <c r="AF10" s="363"/>
      <c r="AG10" s="363"/>
      <c r="AH10" s="363"/>
      <c r="AI10" s="363"/>
      <c r="AJ10" s="363"/>
      <c r="AK10" s="363"/>
      <c r="AL10" s="363"/>
      <c r="AM10" s="363"/>
      <c r="AN10" s="363"/>
      <c r="AO10" s="363"/>
      <c r="AP10" s="363"/>
      <c r="AQ10" s="363"/>
      <c r="AR10" s="363"/>
      <c r="AS10" s="363"/>
      <c r="AT10" s="363"/>
      <c r="AU10" s="363"/>
      <c r="AV10" s="363"/>
      <c r="AW10" s="363"/>
      <c r="AX10" s="363"/>
      <c r="AY10" s="363"/>
      <c r="AZ10" s="363"/>
      <c r="BA10" s="363"/>
      <c r="BB10" s="363"/>
      <c r="BC10" s="363"/>
      <c r="BD10" s="363"/>
      <c r="BE10" s="363"/>
      <c r="BF10" s="363"/>
      <c r="BG10" s="363"/>
      <c r="BH10" s="363"/>
      <c r="BI10" s="363"/>
      <c r="BJ10" s="363"/>
      <c r="BK10" s="363"/>
      <c r="BL10" s="363"/>
      <c r="BM10" s="363"/>
      <c r="BN10" s="363"/>
      <c r="BO10" s="363"/>
      <c r="BP10" s="363"/>
      <c r="BQ10" s="363"/>
      <c r="BR10" s="363"/>
      <c r="BS10" s="363"/>
      <c r="BT10" s="363"/>
      <c r="BU10" s="363"/>
      <c r="BV10" s="363"/>
      <c r="BW10" s="363"/>
      <c r="BX10" s="363"/>
      <c r="BY10" s="363"/>
      <c r="BZ10" s="363"/>
      <c r="CA10" s="363"/>
      <c r="CB10" s="363"/>
      <c r="CC10" s="363"/>
      <c r="CD10" s="363"/>
      <c r="CE10" s="363"/>
      <c r="CF10" s="363"/>
      <c r="CG10" s="363"/>
      <c r="CH10" s="363"/>
      <c r="CI10" s="363"/>
      <c r="CJ10" s="363"/>
      <c r="CK10" s="363"/>
      <c r="CL10" s="363"/>
      <c r="CM10" s="363"/>
      <c r="CN10" s="363"/>
      <c r="CO10" s="363"/>
      <c r="CP10" s="363"/>
      <c r="CQ10" s="363"/>
      <c r="CR10" s="363"/>
      <c r="CS10" s="363"/>
      <c r="CT10" s="363"/>
      <c r="CU10" s="363"/>
      <c r="CV10" s="363"/>
      <c r="CW10" s="363"/>
      <c r="CX10" s="363"/>
      <c r="CY10" s="363"/>
      <c r="CZ10" s="363"/>
      <c r="DA10" s="363"/>
      <c r="DB10" s="363"/>
      <c r="DC10" s="363"/>
      <c r="DD10" s="363"/>
      <c r="DE10" s="363"/>
      <c r="DF10" s="363"/>
      <c r="DG10" s="363"/>
      <c r="DH10" s="363"/>
      <c r="DI10" s="363"/>
      <c r="DJ10" s="363"/>
      <c r="DK10" s="363"/>
      <c r="DL10" s="363"/>
      <c r="DM10" s="363"/>
      <c r="DN10" s="363"/>
      <c r="DO10" s="363"/>
      <c r="DP10" s="363"/>
      <c r="DQ10" s="363"/>
      <c r="DR10" s="363"/>
      <c r="DS10" s="363"/>
      <c r="DT10" s="363"/>
      <c r="DU10" s="363"/>
      <c r="DV10" s="363"/>
      <c r="DW10" s="363"/>
      <c r="DX10" s="363"/>
      <c r="DY10" s="363"/>
      <c r="DZ10" s="363"/>
      <c r="EA10" s="363"/>
      <c r="EB10" s="363"/>
      <c r="EC10" s="363"/>
      <c r="ED10" s="363"/>
      <c r="EE10" s="363"/>
      <c r="EF10" s="363"/>
      <c r="EG10" s="363"/>
      <c r="EH10" s="363"/>
      <c r="EI10" s="363"/>
      <c r="EJ10" s="363"/>
      <c r="EK10" s="363"/>
      <c r="EL10" s="363"/>
      <c r="EM10" s="363"/>
      <c r="EN10" s="363"/>
      <c r="EO10" s="363"/>
      <c r="EP10" s="363"/>
      <c r="EQ10" s="363"/>
      <c r="ER10" s="363"/>
      <c r="ES10" s="363"/>
      <c r="ET10" s="363"/>
      <c r="EU10" s="363"/>
      <c r="EV10" s="363"/>
      <c r="EW10" s="363"/>
      <c r="EX10" s="363"/>
      <c r="EY10" s="363"/>
      <c r="EZ10" s="363"/>
      <c r="FA10" s="363"/>
      <c r="FB10" s="363"/>
      <c r="FC10" s="363"/>
      <c r="FD10" s="363"/>
      <c r="FE10" s="363"/>
      <c r="FF10" s="363"/>
      <c r="FG10" s="363"/>
      <c r="FH10" s="363"/>
      <c r="FI10" s="363"/>
      <c r="FJ10" s="363"/>
      <c r="FK10" s="363"/>
      <c r="FL10" s="363"/>
      <c r="FM10" s="363"/>
      <c r="FN10" s="363"/>
      <c r="FO10" s="363"/>
      <c r="FP10" s="363"/>
      <c r="FQ10" s="363"/>
      <c r="FR10" s="363"/>
      <c r="FS10" s="363"/>
      <c r="FT10" s="363"/>
      <c r="FU10" s="363"/>
      <c r="FV10" s="363"/>
      <c r="FW10" s="363"/>
      <c r="FX10" s="363"/>
      <c r="FY10" s="363"/>
      <c r="FZ10" s="363"/>
      <c r="GA10" s="363"/>
      <c r="GB10" s="363"/>
      <c r="GC10" s="363"/>
      <c r="GD10" s="363"/>
      <c r="GE10" s="363"/>
      <c r="GF10" s="363"/>
      <c r="GG10" s="363"/>
      <c r="GH10" s="363"/>
      <c r="GI10" s="363"/>
      <c r="GJ10" s="363"/>
      <c r="GK10" s="363"/>
      <c r="GL10" s="363"/>
      <c r="GM10" s="363"/>
      <c r="GN10" s="363"/>
      <c r="GO10" s="363"/>
      <c r="GP10" s="363"/>
      <c r="GQ10" s="363"/>
      <c r="GR10" s="363"/>
      <c r="GS10" s="363"/>
      <c r="GT10" s="363"/>
      <c r="GU10" s="363"/>
      <c r="GV10" s="363"/>
      <c r="GW10" s="363"/>
      <c r="GX10" s="363"/>
      <c r="GY10" s="363"/>
      <c r="GZ10" s="363"/>
      <c r="HA10" s="363"/>
      <c r="HB10" s="363"/>
      <c r="HC10" s="363"/>
      <c r="HD10" s="363"/>
      <c r="HE10" s="363"/>
      <c r="HF10" s="363"/>
      <c r="HG10" s="363"/>
      <c r="HH10" s="363"/>
      <c r="HI10" s="363"/>
      <c r="HJ10" s="363"/>
      <c r="HK10" s="363"/>
      <c r="HL10" s="363"/>
      <c r="HM10" s="363"/>
      <c r="HN10" s="363"/>
      <c r="HO10" s="363"/>
      <c r="HP10" s="363"/>
      <c r="HQ10" s="363"/>
      <c r="HR10" s="363"/>
      <c r="HS10" s="363"/>
      <c r="HT10" s="363"/>
      <c r="HU10" s="363"/>
      <c r="HV10" s="363"/>
      <c r="HW10" s="363"/>
      <c r="HX10" s="363"/>
      <c r="HY10" s="363"/>
    </row>
    <row r="11" spans="2:235" s="364" customFormat="1" ht="98.25" customHeight="1">
      <c r="B11" s="428">
        <v>1</v>
      </c>
      <c r="C11" s="613" t="s">
        <v>889</v>
      </c>
      <c r="D11" s="613"/>
      <c r="E11" s="613"/>
      <c r="F11" s="613"/>
      <c r="G11" s="613"/>
      <c r="H11" s="613"/>
      <c r="I11" s="613"/>
      <c r="J11" s="613"/>
      <c r="K11" s="613"/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363"/>
      <c r="AE11" s="363"/>
      <c r="AF11" s="363"/>
      <c r="AG11" s="363"/>
      <c r="AH11" s="363"/>
      <c r="AI11" s="363"/>
      <c r="AJ11" s="363"/>
      <c r="AK11" s="363"/>
      <c r="AL11" s="363"/>
      <c r="AM11" s="363"/>
      <c r="AN11" s="363"/>
      <c r="AO11" s="363"/>
      <c r="AP11" s="363"/>
      <c r="AQ11" s="363"/>
      <c r="AR11" s="363"/>
      <c r="AS11" s="363"/>
      <c r="AT11" s="363"/>
      <c r="AU11" s="363"/>
      <c r="AV11" s="363"/>
      <c r="AW11" s="363"/>
      <c r="AX11" s="363"/>
      <c r="AY11" s="363"/>
      <c r="AZ11" s="363"/>
      <c r="BA11" s="363"/>
      <c r="BB11" s="363"/>
      <c r="BC11" s="363"/>
      <c r="BD11" s="363"/>
      <c r="BE11" s="363"/>
      <c r="BF11" s="363"/>
      <c r="BG11" s="363"/>
      <c r="BH11" s="363"/>
      <c r="BI11" s="363"/>
      <c r="BJ11" s="363"/>
      <c r="BK11" s="363"/>
      <c r="BL11" s="363"/>
      <c r="BM11" s="363"/>
      <c r="BN11" s="363"/>
      <c r="BO11" s="363"/>
      <c r="BP11" s="363"/>
      <c r="BQ11" s="363"/>
      <c r="BR11" s="363"/>
      <c r="BS11" s="363"/>
      <c r="BT11" s="363"/>
      <c r="BU11" s="363"/>
      <c r="BV11" s="363"/>
      <c r="BW11" s="363"/>
      <c r="BX11" s="363"/>
      <c r="BY11" s="363"/>
      <c r="BZ11" s="363"/>
      <c r="CA11" s="363"/>
      <c r="CB11" s="363"/>
      <c r="CC11" s="363"/>
      <c r="CD11" s="363"/>
      <c r="CE11" s="363"/>
      <c r="CF11" s="363"/>
      <c r="CG11" s="363"/>
      <c r="CH11" s="363"/>
      <c r="CI11" s="363"/>
      <c r="CJ11" s="363"/>
      <c r="CK11" s="363"/>
      <c r="CL11" s="363"/>
      <c r="CM11" s="363"/>
      <c r="CN11" s="363"/>
      <c r="CO11" s="363"/>
      <c r="CP11" s="363"/>
      <c r="CQ11" s="363"/>
      <c r="CR11" s="363"/>
      <c r="CS11" s="363"/>
      <c r="CT11" s="363"/>
      <c r="CU11" s="363"/>
      <c r="CV11" s="363"/>
      <c r="CW11" s="363"/>
      <c r="CX11" s="363"/>
      <c r="CY11" s="363"/>
      <c r="CZ11" s="363"/>
      <c r="DA11" s="363"/>
      <c r="DB11" s="363"/>
      <c r="DC11" s="363"/>
      <c r="DD11" s="363"/>
      <c r="DE11" s="363"/>
      <c r="DF11" s="363"/>
      <c r="DG11" s="363"/>
      <c r="DH11" s="363"/>
      <c r="DI11" s="363"/>
      <c r="DJ11" s="363"/>
      <c r="DK11" s="363"/>
      <c r="DL11" s="363"/>
      <c r="DM11" s="363"/>
      <c r="DN11" s="363"/>
      <c r="DO11" s="363"/>
      <c r="DP11" s="363"/>
      <c r="DQ11" s="363"/>
      <c r="DR11" s="363"/>
      <c r="DS11" s="363"/>
      <c r="DT11" s="363"/>
      <c r="DU11" s="363"/>
      <c r="DV11" s="363"/>
      <c r="DW11" s="363"/>
      <c r="DX11" s="363"/>
      <c r="DY11" s="363"/>
      <c r="DZ11" s="363"/>
      <c r="EA11" s="363"/>
      <c r="EB11" s="363"/>
      <c r="EC11" s="363"/>
      <c r="ED11" s="363"/>
      <c r="EE11" s="363"/>
      <c r="EF11" s="363"/>
      <c r="EG11" s="363"/>
      <c r="EH11" s="363"/>
      <c r="EI11" s="363"/>
      <c r="EJ11" s="363"/>
      <c r="EK11" s="363"/>
      <c r="EL11" s="363"/>
      <c r="EM11" s="363"/>
      <c r="EN11" s="363"/>
      <c r="EO11" s="363"/>
      <c r="EP11" s="363"/>
      <c r="EQ11" s="363"/>
      <c r="ER11" s="363"/>
      <c r="ES11" s="363"/>
      <c r="ET11" s="363"/>
      <c r="EU11" s="363"/>
      <c r="EV11" s="363"/>
      <c r="EW11" s="363"/>
      <c r="EX11" s="363"/>
      <c r="EY11" s="363"/>
      <c r="EZ11" s="363"/>
      <c r="FA11" s="363"/>
      <c r="FB11" s="363"/>
      <c r="FC11" s="363"/>
      <c r="FD11" s="363"/>
      <c r="FE11" s="363"/>
      <c r="FF11" s="363"/>
      <c r="FG11" s="363"/>
      <c r="FH11" s="363"/>
      <c r="FI11" s="363"/>
      <c r="FJ11" s="363"/>
      <c r="FK11" s="363"/>
      <c r="FL11" s="363"/>
      <c r="FM11" s="363"/>
      <c r="FN11" s="363"/>
      <c r="FO11" s="363"/>
      <c r="FP11" s="363"/>
      <c r="FQ11" s="363"/>
      <c r="FR11" s="363"/>
      <c r="FS11" s="363"/>
      <c r="FT11" s="363"/>
      <c r="FU11" s="363"/>
      <c r="FV11" s="363"/>
      <c r="FW11" s="363"/>
      <c r="FX11" s="363"/>
      <c r="FY11" s="363"/>
      <c r="FZ11" s="363"/>
      <c r="GA11" s="363"/>
      <c r="GB11" s="363"/>
      <c r="GC11" s="363"/>
      <c r="GD11" s="363"/>
      <c r="GE11" s="363"/>
      <c r="GF11" s="363"/>
      <c r="GG11" s="363"/>
      <c r="GH11" s="363"/>
      <c r="GI11" s="363"/>
      <c r="GJ11" s="363"/>
      <c r="GK11" s="363"/>
      <c r="GL11" s="363"/>
      <c r="GM11" s="363"/>
      <c r="GN11" s="363"/>
      <c r="GO11" s="363"/>
      <c r="GP11" s="363"/>
      <c r="GQ11" s="363"/>
      <c r="GR11" s="363"/>
      <c r="GS11" s="363"/>
      <c r="GT11" s="363"/>
      <c r="GU11" s="363"/>
      <c r="GV11" s="363"/>
      <c r="GW11" s="363"/>
      <c r="GX11" s="363"/>
      <c r="GY11" s="363"/>
      <c r="GZ11" s="363"/>
      <c r="HA11" s="363"/>
      <c r="HB11" s="363"/>
      <c r="HC11" s="363"/>
      <c r="HD11" s="363"/>
      <c r="HE11" s="363"/>
      <c r="HF11" s="363"/>
      <c r="HG11" s="363"/>
      <c r="HH11" s="363"/>
      <c r="HI11" s="363"/>
      <c r="HJ11" s="363"/>
      <c r="HK11" s="363"/>
      <c r="HL11" s="363"/>
      <c r="HM11" s="363"/>
      <c r="HN11" s="363"/>
      <c r="HO11" s="363"/>
      <c r="HP11" s="363"/>
      <c r="HQ11" s="363"/>
      <c r="HR11" s="363"/>
      <c r="HS11" s="363"/>
      <c r="HT11" s="363"/>
      <c r="HU11" s="363"/>
      <c r="HV11" s="363"/>
      <c r="HW11" s="363"/>
      <c r="HX11" s="363"/>
      <c r="HY11" s="363"/>
    </row>
    <row r="12" spans="2:235" s="364" customFormat="1" ht="38.25" customHeight="1">
      <c r="B12" s="428">
        <f>B11+1</f>
        <v>2</v>
      </c>
      <c r="C12" s="613" t="s">
        <v>674</v>
      </c>
      <c r="D12" s="613"/>
      <c r="E12" s="613"/>
      <c r="F12" s="613"/>
      <c r="G12" s="613"/>
      <c r="H12" s="613"/>
      <c r="I12" s="613"/>
      <c r="J12" s="613"/>
      <c r="K12" s="613"/>
      <c r="L12" s="363"/>
      <c r="M12" s="363"/>
      <c r="N12" s="363"/>
      <c r="O12" s="363"/>
      <c r="P12" s="363"/>
      <c r="Q12" s="363"/>
      <c r="R12" s="363"/>
      <c r="S12" s="363"/>
      <c r="T12" s="363"/>
      <c r="U12" s="363"/>
      <c r="V12" s="363"/>
      <c r="W12" s="363"/>
      <c r="X12" s="363"/>
      <c r="Y12" s="363"/>
      <c r="Z12" s="363"/>
      <c r="AA12" s="363"/>
      <c r="AB12" s="363"/>
      <c r="AC12" s="363"/>
      <c r="AD12" s="363"/>
      <c r="AE12" s="363"/>
      <c r="AF12" s="363"/>
      <c r="AG12" s="363"/>
      <c r="AH12" s="363"/>
      <c r="AI12" s="363"/>
      <c r="AJ12" s="363"/>
      <c r="AK12" s="363"/>
      <c r="AL12" s="363"/>
      <c r="AM12" s="363"/>
      <c r="AN12" s="363"/>
      <c r="AO12" s="363"/>
      <c r="AP12" s="363"/>
      <c r="AQ12" s="363"/>
      <c r="AR12" s="363"/>
      <c r="AS12" s="363"/>
      <c r="AT12" s="363"/>
      <c r="AU12" s="363"/>
      <c r="AV12" s="363"/>
      <c r="AW12" s="363"/>
      <c r="AX12" s="363"/>
      <c r="AY12" s="363"/>
      <c r="AZ12" s="363"/>
      <c r="BA12" s="363"/>
      <c r="BB12" s="363"/>
      <c r="BC12" s="363"/>
      <c r="BD12" s="363"/>
      <c r="BE12" s="363"/>
      <c r="BF12" s="363"/>
      <c r="BG12" s="363"/>
      <c r="BH12" s="363"/>
      <c r="BI12" s="363"/>
      <c r="BJ12" s="363"/>
      <c r="BK12" s="363"/>
      <c r="BL12" s="363"/>
      <c r="BM12" s="363"/>
      <c r="BN12" s="363"/>
      <c r="BO12" s="363"/>
      <c r="BP12" s="363"/>
      <c r="BQ12" s="363"/>
      <c r="BR12" s="363"/>
      <c r="BS12" s="363"/>
      <c r="BT12" s="363"/>
      <c r="BU12" s="363"/>
      <c r="BV12" s="363"/>
      <c r="BW12" s="363"/>
      <c r="BX12" s="363"/>
      <c r="BY12" s="363"/>
      <c r="BZ12" s="363"/>
      <c r="CA12" s="363"/>
      <c r="CB12" s="363"/>
      <c r="CC12" s="363"/>
      <c r="CD12" s="363"/>
      <c r="CE12" s="363"/>
      <c r="CF12" s="363"/>
      <c r="CG12" s="363"/>
      <c r="CH12" s="363"/>
      <c r="CI12" s="363"/>
      <c r="CJ12" s="363"/>
      <c r="CK12" s="363"/>
      <c r="CL12" s="363"/>
      <c r="CM12" s="363"/>
      <c r="CN12" s="363"/>
      <c r="CO12" s="363"/>
      <c r="CP12" s="363"/>
      <c r="CQ12" s="363"/>
      <c r="CR12" s="363"/>
      <c r="CS12" s="363"/>
      <c r="CT12" s="363"/>
      <c r="CU12" s="363"/>
      <c r="CV12" s="363"/>
      <c r="CW12" s="363"/>
      <c r="CX12" s="363"/>
      <c r="CY12" s="363"/>
      <c r="CZ12" s="363"/>
      <c r="DA12" s="363"/>
      <c r="DB12" s="363"/>
      <c r="DC12" s="363"/>
      <c r="DD12" s="363"/>
      <c r="DE12" s="363"/>
      <c r="DF12" s="363"/>
      <c r="DG12" s="363"/>
      <c r="DH12" s="363"/>
      <c r="DI12" s="363"/>
      <c r="DJ12" s="363"/>
      <c r="DK12" s="363"/>
      <c r="DL12" s="363"/>
      <c r="DM12" s="363"/>
      <c r="DN12" s="363"/>
      <c r="DO12" s="363"/>
      <c r="DP12" s="363"/>
      <c r="DQ12" s="363"/>
      <c r="DR12" s="363"/>
      <c r="DS12" s="363"/>
      <c r="DT12" s="363"/>
      <c r="DU12" s="363"/>
      <c r="DV12" s="363"/>
      <c r="DW12" s="363"/>
      <c r="DX12" s="363"/>
      <c r="DY12" s="363"/>
      <c r="DZ12" s="363"/>
      <c r="EA12" s="363"/>
      <c r="EB12" s="363"/>
      <c r="EC12" s="363"/>
      <c r="ED12" s="363"/>
      <c r="EE12" s="363"/>
      <c r="EF12" s="363"/>
      <c r="EG12" s="363"/>
      <c r="EH12" s="363"/>
      <c r="EI12" s="363"/>
      <c r="EJ12" s="363"/>
      <c r="EK12" s="363"/>
      <c r="EL12" s="363"/>
      <c r="EM12" s="363"/>
      <c r="EN12" s="363"/>
      <c r="EO12" s="363"/>
      <c r="EP12" s="363"/>
      <c r="EQ12" s="363"/>
      <c r="ER12" s="363"/>
      <c r="ES12" s="363"/>
      <c r="ET12" s="363"/>
      <c r="EU12" s="363"/>
      <c r="EV12" s="363"/>
      <c r="EW12" s="363"/>
      <c r="EX12" s="363"/>
      <c r="EY12" s="363"/>
      <c r="EZ12" s="363"/>
      <c r="FA12" s="363"/>
      <c r="FB12" s="363"/>
      <c r="FC12" s="363"/>
      <c r="FD12" s="363"/>
      <c r="FE12" s="363"/>
      <c r="FF12" s="363"/>
      <c r="FG12" s="363"/>
      <c r="FH12" s="363"/>
      <c r="FI12" s="363"/>
      <c r="FJ12" s="363"/>
      <c r="FK12" s="363"/>
      <c r="FL12" s="363"/>
      <c r="FM12" s="363"/>
      <c r="FN12" s="363"/>
      <c r="FO12" s="363"/>
      <c r="FP12" s="363"/>
      <c r="FQ12" s="363"/>
      <c r="FR12" s="363"/>
      <c r="FS12" s="363"/>
      <c r="FT12" s="363"/>
      <c r="FU12" s="363"/>
      <c r="FV12" s="363"/>
      <c r="FW12" s="363"/>
      <c r="FX12" s="363"/>
      <c r="FY12" s="363"/>
      <c r="FZ12" s="363"/>
      <c r="GA12" s="363"/>
      <c r="GB12" s="363"/>
      <c r="GC12" s="363"/>
      <c r="GD12" s="363"/>
      <c r="GE12" s="363"/>
      <c r="GF12" s="363"/>
      <c r="GG12" s="363"/>
      <c r="GH12" s="363"/>
      <c r="GI12" s="363"/>
      <c r="GJ12" s="363"/>
      <c r="GK12" s="363"/>
      <c r="GL12" s="363"/>
      <c r="GM12" s="363"/>
      <c r="GN12" s="363"/>
      <c r="GO12" s="363"/>
      <c r="GP12" s="363"/>
      <c r="GQ12" s="363"/>
      <c r="GR12" s="363"/>
      <c r="GS12" s="363"/>
      <c r="GT12" s="363"/>
      <c r="GU12" s="363"/>
      <c r="GV12" s="363"/>
      <c r="GW12" s="363"/>
      <c r="GX12" s="363"/>
      <c r="GY12" s="363"/>
      <c r="GZ12" s="363"/>
      <c r="HA12" s="363"/>
      <c r="HB12" s="363"/>
      <c r="HC12" s="363"/>
      <c r="HD12" s="363"/>
      <c r="HE12" s="363"/>
      <c r="HF12" s="363"/>
      <c r="HG12" s="363"/>
      <c r="HH12" s="363"/>
      <c r="HI12" s="363"/>
      <c r="HJ12" s="363"/>
      <c r="HK12" s="363"/>
      <c r="HL12" s="363"/>
      <c r="HM12" s="363"/>
      <c r="HN12" s="363"/>
      <c r="HO12" s="363"/>
      <c r="HP12" s="363"/>
      <c r="HQ12" s="363"/>
      <c r="HR12" s="363"/>
      <c r="HS12" s="363"/>
      <c r="HT12" s="363"/>
      <c r="HU12" s="363"/>
      <c r="HV12" s="363"/>
      <c r="HW12" s="363"/>
      <c r="HX12" s="363"/>
      <c r="HY12" s="363"/>
    </row>
    <row r="13" spans="2:235" ht="35.25" customHeight="1">
      <c r="B13" s="428">
        <f>B12+1</f>
        <v>3</v>
      </c>
      <c r="C13" s="613" t="s">
        <v>1177</v>
      </c>
      <c r="D13" s="613"/>
      <c r="E13" s="613"/>
      <c r="F13" s="613"/>
      <c r="G13" s="613"/>
      <c r="H13" s="613"/>
      <c r="I13" s="613"/>
      <c r="J13" s="613"/>
      <c r="K13" s="613"/>
      <c r="HZ13" s="360"/>
      <c r="IA13" s="360"/>
    </row>
    <row r="18" spans="4:7">
      <c r="D18" s="376"/>
      <c r="E18" s="376"/>
      <c r="F18" s="376"/>
      <c r="G18" s="376"/>
    </row>
  </sheetData>
  <mergeCells count="4">
    <mergeCell ref="B5:K5"/>
    <mergeCell ref="C11:K11"/>
    <mergeCell ref="C12:K12"/>
    <mergeCell ref="C13:K13"/>
  </mergeCells>
  <printOptions horizontalCentered="1" verticalCentered="1"/>
  <pageMargins left="0.39370078740157483" right="0.39370078740157483" top="0.39370078740157483" bottom="0.39370078740157483" header="0" footer="0"/>
  <pageSetup paperSize="9" scale="64" firstPageNumber="0" orientation="landscape" horizontalDpi="300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53A86-0CCA-4558-A365-E193B4306F65}">
  <sheetPr>
    <tabColor rgb="FF7030A0"/>
    <pageSetUpPr fitToPage="1"/>
  </sheetPr>
  <dimension ref="B2:IM40"/>
  <sheetViews>
    <sheetView showGridLines="0" tabSelected="1" topLeftCell="A4" zoomScale="90" zoomScaleNormal="90" zoomScaleSheetLayoutView="90" workbookViewId="0">
      <selection activeCell="H20" sqref="H20"/>
    </sheetView>
  </sheetViews>
  <sheetFormatPr defaultColWidth="9.7109375" defaultRowHeight="15.75"/>
  <cols>
    <col min="1" max="1" width="9.7109375" style="15"/>
    <col min="2" max="2" width="19.140625" style="14" customWidth="1"/>
    <col min="3" max="3" width="55.7109375" style="14" customWidth="1"/>
    <col min="4" max="4" width="22.42578125" style="14" customWidth="1"/>
    <col min="5" max="5" width="17.140625" style="14" bestFit="1" customWidth="1"/>
    <col min="6" max="6" width="20.42578125" style="14" customWidth="1"/>
    <col min="7" max="7" width="36.5703125" style="14" customWidth="1"/>
    <col min="8" max="8" width="33" style="150" bestFit="1" customWidth="1"/>
    <col min="9" max="9" width="30.140625" style="150" bestFit="1" customWidth="1"/>
    <col min="10" max="10" width="24.140625" style="151" customWidth="1"/>
    <col min="11" max="11" width="16.85546875" style="150" customWidth="1"/>
    <col min="12" max="12" width="17.140625" style="150" customWidth="1"/>
    <col min="13" max="240" width="9.7109375" style="14"/>
    <col min="241" max="16384" width="9.7109375" style="15"/>
  </cols>
  <sheetData>
    <row r="2" spans="2:247" s="14" customFormat="1">
      <c r="H2" s="150"/>
      <c r="I2" s="150"/>
      <c r="J2" s="151"/>
      <c r="K2" s="150"/>
      <c r="L2" s="150"/>
      <c r="IG2" s="15"/>
      <c r="IH2" s="15"/>
      <c r="II2" s="15"/>
      <c r="IJ2" s="15"/>
      <c r="IK2" s="15"/>
      <c r="IL2" s="15"/>
      <c r="IM2" s="15"/>
    </row>
    <row r="3" spans="2:247" ht="32.25" customHeight="1">
      <c r="B3" s="919" t="s">
        <v>629</v>
      </c>
      <c r="C3" s="920"/>
      <c r="D3" s="920"/>
      <c r="E3" s="920"/>
      <c r="F3" s="920"/>
      <c r="G3" s="921"/>
      <c r="IF3" s="15"/>
    </row>
    <row r="4" spans="2:247" s="14" customFormat="1" ht="33" customHeight="1">
      <c r="B4" s="922" t="s">
        <v>1204</v>
      </c>
      <c r="C4" s="923"/>
      <c r="D4" s="923"/>
      <c r="E4" s="923"/>
      <c r="F4" s="923"/>
      <c r="G4" s="924"/>
      <c r="H4" s="150"/>
      <c r="I4" s="150"/>
      <c r="J4" s="151"/>
      <c r="K4" s="925" t="s">
        <v>628</v>
      </c>
      <c r="L4" s="925"/>
      <c r="IF4" s="15"/>
      <c r="IG4" s="15"/>
      <c r="IH4" s="15"/>
      <c r="II4" s="15"/>
      <c r="IJ4" s="15"/>
      <c r="IK4" s="15"/>
      <c r="IL4" s="15"/>
    </row>
    <row r="5" spans="2:247" s="14" customFormat="1" ht="33.75" customHeight="1">
      <c r="B5" s="922" t="s">
        <v>627</v>
      </c>
      <c r="C5" s="923"/>
      <c r="D5" s="923"/>
      <c r="E5" s="923"/>
      <c r="F5" s="923"/>
      <c r="G5" s="924"/>
      <c r="H5" s="150"/>
      <c r="I5" s="150"/>
      <c r="J5" s="151"/>
      <c r="K5" s="925"/>
      <c r="L5" s="925"/>
      <c r="IF5" s="15"/>
      <c r="IG5" s="15"/>
      <c r="IH5" s="15"/>
      <c r="II5" s="15"/>
      <c r="IJ5" s="15"/>
      <c r="IK5" s="15"/>
      <c r="IL5" s="15"/>
    </row>
    <row r="6" spans="2:247" s="14" customFormat="1" ht="40.5" customHeight="1">
      <c r="B6" s="926" t="s">
        <v>105</v>
      </c>
      <c r="C6" s="927"/>
      <c r="D6" s="189" t="s">
        <v>57</v>
      </c>
      <c r="E6" s="189" t="s">
        <v>626</v>
      </c>
      <c r="F6" s="190" t="s">
        <v>106</v>
      </c>
      <c r="G6" s="189" t="s">
        <v>625</v>
      </c>
      <c r="H6" s="188" t="s">
        <v>624</v>
      </c>
      <c r="I6" s="187" t="s">
        <v>623</v>
      </c>
      <c r="J6" s="186" t="s">
        <v>104</v>
      </c>
      <c r="K6" s="185" t="s">
        <v>622</v>
      </c>
      <c r="L6" s="185" t="s">
        <v>621</v>
      </c>
      <c r="IF6" s="15"/>
      <c r="IG6" s="15"/>
      <c r="IH6" s="15"/>
      <c r="II6" s="15"/>
      <c r="IJ6" s="15"/>
      <c r="IK6" s="15"/>
      <c r="IL6" s="15"/>
    </row>
    <row r="7" spans="2:247" ht="21" customHeight="1">
      <c r="B7" s="905" t="s">
        <v>675</v>
      </c>
      <c r="C7" s="906" t="s">
        <v>1155</v>
      </c>
      <c r="D7" s="164" t="s">
        <v>5</v>
      </c>
      <c r="E7" s="184">
        <v>2</v>
      </c>
      <c r="F7" s="171">
        <f>ROUND(Enfermeiro_2025!E73,2)</f>
        <v>9919.2900000000009</v>
      </c>
      <c r="G7" s="171">
        <f>ROUND(E7*F7,2)</f>
        <v>19838.580000000002</v>
      </c>
      <c r="H7" s="181">
        <f>ROUND((F7+F7*E11+F7*E12+F7*E11*E12)/(1-D18),2)</f>
        <v>12386.97</v>
      </c>
      <c r="I7" s="183">
        <f>ROUND(H7*E7,2)</f>
        <v>24773.94</v>
      </c>
      <c r="J7" s="182">
        <f>I7/$I$9</f>
        <v>0.66666666666666674</v>
      </c>
      <c r="K7" s="928">
        <f>I9</f>
        <v>37160.909999999996</v>
      </c>
      <c r="L7" s="928">
        <f>K7*12</f>
        <v>445930.91999999993</v>
      </c>
      <c r="IF7" s="15"/>
    </row>
    <row r="8" spans="2:247" ht="21" customHeight="1" thickBot="1">
      <c r="B8" s="905" t="s">
        <v>1174</v>
      </c>
      <c r="C8" s="906"/>
      <c r="D8" s="164" t="s">
        <v>5</v>
      </c>
      <c r="E8" s="184">
        <v>1</v>
      </c>
      <c r="F8" s="171">
        <f>ROUND('Enfermeiro_Sob Demanda'!E73,2)</f>
        <v>9919.2900000000009</v>
      </c>
      <c r="G8" s="171">
        <f>ROUND(E8*F8,2)</f>
        <v>9919.2900000000009</v>
      </c>
      <c r="H8" s="181">
        <f>ROUND((F8+F8*E11+F8*E12+F8*E11*E12)/(1-D18),2)</f>
        <v>12386.97</v>
      </c>
      <c r="I8" s="183">
        <f>ROUND(H8*E8,2)</f>
        <v>12386.97</v>
      </c>
      <c r="J8" s="182">
        <f>I8/$I$9</f>
        <v>0.33333333333333337</v>
      </c>
      <c r="K8" s="928"/>
      <c r="L8" s="928"/>
      <c r="IF8" s="15"/>
    </row>
    <row r="9" spans="2:247" ht="21" customHeight="1" thickBot="1">
      <c r="B9" s="930" t="s">
        <v>620</v>
      </c>
      <c r="C9" s="931"/>
      <c r="D9" s="931"/>
      <c r="E9" s="932"/>
      <c r="F9" s="178" t="s">
        <v>6</v>
      </c>
      <c r="G9" s="177">
        <f>ROUND(SUM(G7:G8),2)</f>
        <v>29757.87</v>
      </c>
      <c r="H9" s="181"/>
      <c r="I9" s="180">
        <f>SUM(I7:I8)</f>
        <v>37160.909999999996</v>
      </c>
      <c r="J9" s="179">
        <f>SUM(J7:J8)</f>
        <v>1</v>
      </c>
      <c r="K9" s="929"/>
      <c r="L9" s="929"/>
      <c r="IF9" s="15"/>
    </row>
    <row r="10" spans="2:247" s="14" customFormat="1" ht="26.1" customHeight="1" thickBot="1">
      <c r="B10" s="933" t="s">
        <v>619</v>
      </c>
      <c r="C10" s="933"/>
      <c r="D10" s="933"/>
      <c r="E10" s="933"/>
      <c r="F10" s="933"/>
      <c r="G10" s="933"/>
      <c r="H10" s="150"/>
      <c r="I10" s="150"/>
      <c r="J10" s="151"/>
      <c r="K10" s="150"/>
      <c r="L10" s="150"/>
      <c r="IG10" s="15"/>
      <c r="IH10" s="15"/>
      <c r="II10" s="15"/>
      <c r="IJ10" s="15"/>
      <c r="IK10" s="15"/>
      <c r="IL10" s="15"/>
      <c r="IM10" s="15"/>
    </row>
    <row r="11" spans="2:247" s="14" customFormat="1" ht="17.25" customHeight="1" thickBot="1">
      <c r="B11" s="934" t="s">
        <v>618</v>
      </c>
      <c r="C11" s="935"/>
      <c r="D11" s="936"/>
      <c r="E11" s="175">
        <v>1.500051E-2</v>
      </c>
      <c r="F11" s="178" t="s">
        <v>7</v>
      </c>
      <c r="G11" s="177">
        <f>ROUND(E11*G9,2)</f>
        <v>446.38</v>
      </c>
      <c r="H11" s="150"/>
      <c r="I11" s="156"/>
      <c r="J11" s="151"/>
      <c r="K11" s="150"/>
      <c r="L11" s="150"/>
      <c r="IG11" s="15"/>
      <c r="IH11" s="15"/>
      <c r="II11" s="15"/>
      <c r="IJ11" s="15"/>
      <c r="IK11" s="15"/>
      <c r="IL11" s="15"/>
      <c r="IM11" s="15"/>
    </row>
    <row r="12" spans="2:247" s="14" customFormat="1" ht="17.25" customHeight="1" thickBot="1">
      <c r="B12" s="934" t="s">
        <v>617</v>
      </c>
      <c r="C12" s="935"/>
      <c r="D12" s="936"/>
      <c r="E12" s="175">
        <v>5.5E-2</v>
      </c>
      <c r="F12" s="178" t="s">
        <v>8</v>
      </c>
      <c r="G12" s="177">
        <f>ROUND(((G9+G11)*E12),2)</f>
        <v>1661.23</v>
      </c>
      <c r="H12" s="150"/>
      <c r="I12" s="152"/>
      <c r="J12" s="151"/>
      <c r="K12" s="150"/>
      <c r="L12" s="150"/>
      <c r="IG12" s="15"/>
      <c r="IH12" s="15"/>
      <c r="II12" s="15"/>
      <c r="IJ12" s="15"/>
      <c r="IK12" s="15"/>
      <c r="IL12" s="15"/>
      <c r="IM12" s="15"/>
    </row>
    <row r="13" spans="2:247" s="14" customFormat="1" ht="19.5" customHeight="1">
      <c r="B13" s="937" t="s">
        <v>616</v>
      </c>
      <c r="C13" s="937"/>
      <c r="D13" s="937"/>
      <c r="E13" s="937"/>
      <c r="F13" s="937"/>
      <c r="G13" s="176">
        <f>SUM(G11:G12)</f>
        <v>2107.61</v>
      </c>
      <c r="H13" s="150"/>
      <c r="I13" s="150"/>
      <c r="J13" s="156"/>
      <c r="K13" s="150"/>
      <c r="L13" s="150"/>
      <c r="IG13" s="15"/>
      <c r="IH13" s="15"/>
      <c r="II13" s="15"/>
      <c r="IJ13" s="15"/>
      <c r="IK13" s="15"/>
      <c r="IL13" s="15"/>
      <c r="IM13" s="15"/>
    </row>
    <row r="14" spans="2:247" s="14" customFormat="1" ht="17.25" customHeight="1">
      <c r="B14" s="918" t="s">
        <v>615</v>
      </c>
      <c r="C14" s="918"/>
      <c r="D14" s="918"/>
      <c r="E14" s="918"/>
      <c r="F14" s="918"/>
      <c r="G14" s="918"/>
      <c r="H14" s="150"/>
      <c r="I14" s="150"/>
      <c r="J14" s="151"/>
      <c r="K14" s="150"/>
      <c r="L14" s="150"/>
      <c r="IG14" s="15"/>
      <c r="IH14" s="15"/>
      <c r="II14" s="15"/>
      <c r="IJ14" s="15"/>
      <c r="IK14" s="15"/>
      <c r="IL14" s="15"/>
      <c r="IM14" s="15"/>
    </row>
    <row r="15" spans="2:247" s="14" customFormat="1" ht="17.25" customHeight="1">
      <c r="B15" s="905" t="s">
        <v>84</v>
      </c>
      <c r="C15" s="906"/>
      <c r="D15" s="175">
        <v>0.05</v>
      </c>
      <c r="E15" s="173"/>
      <c r="F15" s="172"/>
      <c r="G15" s="171">
        <f>D15*$G$24</f>
        <v>1858.0455000000002</v>
      </c>
      <c r="H15" s="150"/>
      <c r="I15" s="152"/>
      <c r="J15" s="151"/>
      <c r="K15" s="150"/>
      <c r="L15" s="150"/>
      <c r="IG15" s="15"/>
      <c r="IH15" s="15"/>
      <c r="II15" s="15"/>
      <c r="IJ15" s="15"/>
      <c r="IK15" s="15"/>
      <c r="IL15" s="15"/>
      <c r="IM15" s="15"/>
    </row>
    <row r="16" spans="2:247" s="14" customFormat="1" ht="17.25" customHeight="1">
      <c r="B16" s="905" t="s">
        <v>2</v>
      </c>
      <c r="C16" s="906"/>
      <c r="D16" s="175">
        <v>1.6500000000000001E-2</v>
      </c>
      <c r="E16" s="173"/>
      <c r="F16" s="172"/>
      <c r="G16" s="171">
        <f>D16*$G$24</f>
        <v>613.15501500000005</v>
      </c>
      <c r="H16" s="150"/>
      <c r="I16" s="156"/>
      <c r="J16" s="151"/>
      <c r="K16" s="150"/>
      <c r="L16" s="150"/>
      <c r="IG16" s="15"/>
      <c r="IH16" s="15"/>
      <c r="II16" s="15"/>
      <c r="IJ16" s="15"/>
      <c r="IK16" s="15"/>
      <c r="IL16" s="15"/>
      <c r="IM16" s="15"/>
    </row>
    <row r="17" spans="2:247" s="14" customFormat="1" ht="17.25" customHeight="1" thickBot="1">
      <c r="B17" s="907" t="s">
        <v>3</v>
      </c>
      <c r="C17" s="908"/>
      <c r="D17" s="174">
        <v>7.5999999999999998E-2</v>
      </c>
      <c r="E17" s="173"/>
      <c r="F17" s="172"/>
      <c r="G17" s="171">
        <f>D17*$G$24</f>
        <v>2824.2291600000003</v>
      </c>
      <c r="H17" s="150"/>
      <c r="I17" s="156"/>
      <c r="J17" s="151"/>
      <c r="K17" s="150"/>
      <c r="L17" s="150"/>
      <c r="IG17" s="15"/>
      <c r="IH17" s="15"/>
      <c r="II17" s="15"/>
      <c r="IJ17" s="15"/>
      <c r="IK17" s="15"/>
      <c r="IL17" s="15"/>
      <c r="IM17" s="15"/>
    </row>
    <row r="18" spans="2:247" s="14" customFormat="1" ht="20.25" customHeight="1" thickBot="1">
      <c r="B18" s="170" t="s">
        <v>614</v>
      </c>
      <c r="C18" s="169" t="s">
        <v>107</v>
      </c>
      <c r="D18" s="168">
        <f>SUM(D15:D17)</f>
        <v>0.14250000000000002</v>
      </c>
      <c r="E18" s="167"/>
      <c r="F18" s="591" t="s">
        <v>108</v>
      </c>
      <c r="G18" s="592">
        <f>ROUND(SUM(G15:G17),2)</f>
        <v>5295.43</v>
      </c>
      <c r="H18" s="156"/>
      <c r="I18" s="150"/>
      <c r="J18" s="151"/>
      <c r="K18" s="150"/>
      <c r="L18" s="150"/>
      <c r="IG18" s="15"/>
      <c r="IH18" s="15"/>
      <c r="II18" s="15"/>
      <c r="IJ18" s="15"/>
      <c r="IK18" s="15"/>
      <c r="IL18" s="15"/>
      <c r="IM18" s="15"/>
    </row>
    <row r="19" spans="2:247" s="14" customFormat="1" ht="17.25" customHeight="1">
      <c r="B19" s="909" t="s">
        <v>613</v>
      </c>
      <c r="C19" s="910"/>
      <c r="D19" s="910"/>
      <c r="E19" s="911"/>
      <c r="F19" s="911"/>
      <c r="G19" s="911"/>
      <c r="H19" s="150"/>
      <c r="I19" s="150"/>
      <c r="J19" s="151"/>
      <c r="K19" s="150"/>
      <c r="L19" s="150"/>
      <c r="IG19" s="15"/>
      <c r="IH19" s="15"/>
      <c r="II19" s="15"/>
      <c r="IJ19" s="15"/>
      <c r="IK19" s="15"/>
      <c r="IL19" s="15"/>
      <c r="IM19" s="15"/>
    </row>
    <row r="20" spans="2:247" s="14" customFormat="1" ht="17.25" customHeight="1">
      <c r="B20" s="910" t="s">
        <v>612</v>
      </c>
      <c r="C20" s="910"/>
      <c r="D20" s="910"/>
      <c r="E20" s="910"/>
      <c r="F20" s="910"/>
      <c r="G20" s="910"/>
      <c r="H20" s="150"/>
      <c r="I20" s="150"/>
      <c r="J20" s="151"/>
      <c r="K20" s="150"/>
      <c r="L20" s="150"/>
      <c r="IG20" s="15"/>
      <c r="IH20" s="15"/>
      <c r="II20" s="15"/>
      <c r="IJ20" s="15"/>
      <c r="IK20" s="15"/>
      <c r="IL20" s="15"/>
      <c r="IM20" s="15"/>
    </row>
    <row r="21" spans="2:247" s="14" customFormat="1" ht="17.25" customHeight="1">
      <c r="B21" s="910" t="s">
        <v>611</v>
      </c>
      <c r="C21" s="910"/>
      <c r="D21" s="910"/>
      <c r="E21" s="910"/>
      <c r="F21" s="910"/>
      <c r="G21" s="910"/>
      <c r="H21" s="150"/>
      <c r="I21" s="150"/>
      <c r="J21" s="151"/>
      <c r="K21" s="150"/>
      <c r="L21" s="150"/>
      <c r="IG21" s="15"/>
      <c r="IH21" s="15"/>
      <c r="II21" s="15"/>
      <c r="IJ21" s="15"/>
      <c r="IK21" s="15"/>
      <c r="IL21" s="15"/>
      <c r="IM21" s="15"/>
    </row>
    <row r="22" spans="2:247" s="14" customFormat="1" ht="17.25" customHeight="1">
      <c r="B22" s="909" t="s">
        <v>85</v>
      </c>
      <c r="C22" s="909"/>
      <c r="D22" s="909"/>
      <c r="E22" s="909"/>
      <c r="F22" s="909"/>
      <c r="G22" s="909"/>
      <c r="H22" s="150"/>
      <c r="I22" s="150"/>
      <c r="J22" s="151"/>
      <c r="K22" s="150"/>
      <c r="L22" s="150"/>
      <c r="IG22" s="15"/>
      <c r="IH22" s="15"/>
      <c r="II22" s="15"/>
      <c r="IJ22" s="15"/>
      <c r="IK22" s="15"/>
      <c r="IL22" s="15"/>
      <c r="IM22" s="15"/>
    </row>
    <row r="23" spans="2:247" s="14" customFormat="1" ht="17.25" customHeight="1" thickBot="1">
      <c r="B23" s="912" t="s">
        <v>610</v>
      </c>
      <c r="C23" s="912"/>
      <c r="D23" s="912"/>
      <c r="E23" s="912"/>
      <c r="F23" s="912"/>
      <c r="G23" s="912"/>
      <c r="H23" s="156"/>
      <c r="I23" s="150"/>
      <c r="J23" s="151"/>
      <c r="K23" s="150"/>
      <c r="L23" s="150"/>
      <c r="IG23" s="15"/>
      <c r="IH23" s="15"/>
      <c r="II23" s="15"/>
      <c r="IJ23" s="15"/>
      <c r="IK23" s="15"/>
      <c r="IL23" s="15"/>
      <c r="IM23" s="15"/>
    </row>
    <row r="24" spans="2:247" s="14" customFormat="1" ht="23.1" customHeight="1" thickBot="1">
      <c r="B24" s="913" t="s">
        <v>609</v>
      </c>
      <c r="C24" s="913"/>
      <c r="D24" s="913"/>
      <c r="E24" s="914"/>
      <c r="F24" s="163" t="s">
        <v>109</v>
      </c>
      <c r="G24" s="162">
        <f>ROUND((G9+G13)/(1-D18),2)</f>
        <v>37160.910000000003</v>
      </c>
      <c r="H24" s="152"/>
      <c r="I24" s="156"/>
      <c r="J24" s="151"/>
      <c r="K24" s="150"/>
      <c r="L24" s="150"/>
      <c r="IG24" s="15"/>
      <c r="IH24" s="15"/>
      <c r="II24" s="15"/>
      <c r="IJ24" s="15"/>
      <c r="IK24" s="15"/>
      <c r="IL24" s="15"/>
      <c r="IM24" s="15"/>
    </row>
    <row r="25" spans="2:247" s="14" customFormat="1" ht="24.95" customHeight="1">
      <c r="B25" s="915" t="s">
        <v>1207</v>
      </c>
      <c r="C25" s="916"/>
      <c r="D25" s="916"/>
      <c r="E25" s="916"/>
      <c r="F25" s="917"/>
      <c r="G25" s="161">
        <f>ROUND(G24*24,2)</f>
        <v>891861.84</v>
      </c>
      <c r="H25" s="152"/>
      <c r="I25" s="156"/>
      <c r="J25" s="151"/>
      <c r="K25" s="150"/>
      <c r="L25" s="150"/>
      <c r="IG25" s="15"/>
      <c r="IH25" s="15"/>
      <c r="II25" s="15"/>
      <c r="IJ25" s="15"/>
      <c r="IK25" s="15"/>
      <c r="IL25" s="15"/>
      <c r="IM25" s="15"/>
    </row>
    <row r="26" spans="2:247" s="14" customFormat="1">
      <c r="B26" s="159"/>
      <c r="C26" s="159"/>
      <c r="D26" s="159"/>
      <c r="E26" s="159"/>
      <c r="F26" s="159"/>
      <c r="G26" s="159"/>
      <c r="H26" s="160"/>
      <c r="I26" s="150"/>
      <c r="J26" s="151"/>
      <c r="K26" s="150"/>
      <c r="L26" s="150"/>
      <c r="IG26" s="15"/>
      <c r="IH26" s="15"/>
      <c r="II26" s="15"/>
      <c r="IJ26" s="15"/>
      <c r="IK26" s="15"/>
      <c r="IL26" s="15"/>
      <c r="IM26" s="15"/>
    </row>
    <row r="27" spans="2:247" s="14" customFormat="1" ht="30" customHeight="1">
      <c r="B27" s="159"/>
      <c r="C27" s="159"/>
      <c r="D27" s="159"/>
      <c r="E27" s="159"/>
      <c r="F27" s="158" t="s">
        <v>110</v>
      </c>
      <c r="G27" s="157">
        <f>(G18+G13)/G9</f>
        <v>0.2487758700471506</v>
      </c>
      <c r="H27" s="156"/>
      <c r="I27" s="156"/>
      <c r="J27" s="151"/>
      <c r="K27" s="150"/>
      <c r="L27" s="150"/>
      <c r="IG27" s="15"/>
      <c r="IH27" s="15"/>
      <c r="II27" s="15"/>
      <c r="IJ27" s="15"/>
      <c r="IK27" s="15"/>
      <c r="IL27" s="15"/>
      <c r="IM27" s="15"/>
    </row>
    <row r="28" spans="2:247" s="14" customFormat="1">
      <c r="H28" s="150"/>
      <c r="I28" s="150"/>
      <c r="J28" s="151"/>
      <c r="K28" s="150"/>
      <c r="L28" s="150"/>
      <c r="IG28" s="15"/>
      <c r="IH28" s="15"/>
      <c r="II28" s="15"/>
      <c r="IJ28" s="15"/>
      <c r="IK28" s="15"/>
      <c r="IL28" s="15"/>
      <c r="IM28" s="15"/>
    </row>
    <row r="30" spans="2:247" ht="24.75" customHeight="1">
      <c r="B30" s="155" t="s">
        <v>608</v>
      </c>
      <c r="C30" s="154"/>
      <c r="D30" s="153"/>
      <c r="E30" s="153"/>
      <c r="F30" s="153"/>
      <c r="G30" s="153"/>
    </row>
    <row r="31" spans="2:247" ht="33.75" customHeight="1">
      <c r="B31" s="593">
        <v>1</v>
      </c>
      <c r="C31" s="904" t="s">
        <v>607</v>
      </c>
      <c r="D31" s="904"/>
      <c r="E31" s="904"/>
      <c r="F31" s="904"/>
      <c r="G31" s="904"/>
      <c r="H31" s="594"/>
    </row>
    <row r="32" spans="2:247" s="150" customFormat="1" ht="99" customHeight="1">
      <c r="B32" s="593">
        <f t="shared" ref="B32:B40" si="0">B31+1</f>
        <v>2</v>
      </c>
      <c r="C32" s="904" t="s">
        <v>1156</v>
      </c>
      <c r="D32" s="904"/>
      <c r="E32" s="904"/>
      <c r="F32" s="904"/>
      <c r="G32" s="904"/>
      <c r="H32" s="594"/>
      <c r="J32" s="151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5"/>
      <c r="IH32" s="15"/>
      <c r="II32" s="15"/>
      <c r="IJ32" s="15"/>
      <c r="IK32" s="15"/>
      <c r="IL32" s="15"/>
      <c r="IM32" s="15"/>
    </row>
    <row r="33" spans="2:247" s="150" customFormat="1" ht="123.75" customHeight="1">
      <c r="B33" s="593">
        <f t="shared" si="0"/>
        <v>3</v>
      </c>
      <c r="C33" s="904" t="s">
        <v>1157</v>
      </c>
      <c r="D33" s="904"/>
      <c r="E33" s="904"/>
      <c r="F33" s="904"/>
      <c r="G33" s="904"/>
      <c r="H33" s="594"/>
      <c r="J33" s="151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5"/>
      <c r="IH33" s="15"/>
      <c r="II33" s="15"/>
      <c r="IJ33" s="15"/>
      <c r="IK33" s="15"/>
      <c r="IL33" s="15"/>
      <c r="IM33" s="15"/>
    </row>
    <row r="34" spans="2:247" s="150" customFormat="1" ht="123.75" customHeight="1">
      <c r="B34" s="593">
        <f t="shared" si="0"/>
        <v>4</v>
      </c>
      <c r="C34" s="904" t="s">
        <v>606</v>
      </c>
      <c r="D34" s="904"/>
      <c r="E34" s="904"/>
      <c r="F34" s="904"/>
      <c r="G34" s="904"/>
      <c r="H34" s="594"/>
      <c r="J34" s="151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5"/>
      <c r="IH34" s="15"/>
      <c r="II34" s="15"/>
      <c r="IJ34" s="15"/>
      <c r="IK34" s="15"/>
      <c r="IL34" s="15"/>
      <c r="IM34" s="15"/>
    </row>
    <row r="35" spans="2:247" s="150" customFormat="1" ht="112.5" customHeight="1">
      <c r="B35" s="593">
        <f t="shared" si="0"/>
        <v>5</v>
      </c>
      <c r="C35" s="904" t="s">
        <v>605</v>
      </c>
      <c r="D35" s="904"/>
      <c r="E35" s="904"/>
      <c r="F35" s="904"/>
      <c r="G35" s="904"/>
      <c r="H35" s="594"/>
      <c r="J35" s="151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5"/>
      <c r="IH35" s="15"/>
      <c r="II35" s="15"/>
      <c r="IJ35" s="15"/>
      <c r="IK35" s="15"/>
      <c r="IL35" s="15"/>
      <c r="IM35" s="15"/>
    </row>
    <row r="36" spans="2:247" s="150" customFormat="1" ht="99.75" customHeight="1">
      <c r="B36" s="593">
        <f t="shared" si="0"/>
        <v>6</v>
      </c>
      <c r="C36" s="904" t="s">
        <v>1182</v>
      </c>
      <c r="D36" s="904"/>
      <c r="E36" s="904"/>
      <c r="F36" s="904"/>
      <c r="G36" s="904"/>
      <c r="H36" s="594"/>
      <c r="J36" s="151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5"/>
      <c r="IH36" s="15"/>
      <c r="II36" s="15"/>
      <c r="IJ36" s="15"/>
      <c r="IK36" s="15"/>
      <c r="IL36" s="15"/>
      <c r="IM36" s="15"/>
    </row>
    <row r="37" spans="2:247" s="150" customFormat="1" ht="127.5" customHeight="1">
      <c r="B37" s="593">
        <f t="shared" si="0"/>
        <v>7</v>
      </c>
      <c r="C37" s="904" t="s">
        <v>1183</v>
      </c>
      <c r="D37" s="904"/>
      <c r="E37" s="904"/>
      <c r="F37" s="904"/>
      <c r="G37" s="904"/>
      <c r="H37" s="594"/>
      <c r="J37" s="151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5"/>
      <c r="IH37" s="15"/>
      <c r="II37" s="15"/>
      <c r="IJ37" s="15"/>
      <c r="IK37" s="15"/>
      <c r="IL37" s="15"/>
      <c r="IM37" s="15"/>
    </row>
    <row r="38" spans="2:247" s="150" customFormat="1" ht="33.75" customHeight="1">
      <c r="B38" s="593">
        <f>B37+1</f>
        <v>8</v>
      </c>
      <c r="C38" s="904" t="s">
        <v>1158</v>
      </c>
      <c r="D38" s="904"/>
      <c r="E38" s="904"/>
      <c r="F38" s="904"/>
      <c r="G38" s="904"/>
      <c r="H38" s="594"/>
      <c r="J38" s="151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5"/>
      <c r="IH38" s="15"/>
      <c r="II38" s="15"/>
      <c r="IJ38" s="15"/>
      <c r="IK38" s="15"/>
      <c r="IL38" s="15"/>
      <c r="IM38" s="15"/>
    </row>
    <row r="39" spans="2:247" s="150" customFormat="1" ht="30" customHeight="1">
      <c r="B39" s="593">
        <f>B38+1</f>
        <v>9</v>
      </c>
      <c r="C39" s="904" t="s">
        <v>1159</v>
      </c>
      <c r="D39" s="904"/>
      <c r="E39" s="904"/>
      <c r="F39" s="904"/>
      <c r="G39" s="904"/>
      <c r="H39" s="594"/>
      <c r="J39" s="151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  <c r="GW39" s="14"/>
      <c r="GX39" s="14"/>
      <c r="GY39" s="14"/>
      <c r="GZ39" s="14"/>
      <c r="HA39" s="14"/>
      <c r="HB39" s="14"/>
      <c r="HC39" s="14"/>
      <c r="HD39" s="14"/>
      <c r="HE39" s="14"/>
      <c r="HF39" s="14"/>
      <c r="HG39" s="14"/>
      <c r="HH39" s="14"/>
      <c r="HI39" s="14"/>
      <c r="HJ39" s="14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  <c r="HW39" s="14"/>
      <c r="HX39" s="14"/>
      <c r="HY39" s="14"/>
      <c r="HZ39" s="14"/>
      <c r="IA39" s="14"/>
      <c r="IB39" s="14"/>
      <c r="IC39" s="14"/>
      <c r="ID39" s="14"/>
      <c r="IE39" s="14"/>
      <c r="IF39" s="14"/>
      <c r="IG39" s="15"/>
      <c r="IH39" s="15"/>
      <c r="II39" s="15"/>
      <c r="IJ39" s="15"/>
      <c r="IK39" s="15"/>
      <c r="IL39" s="15"/>
      <c r="IM39" s="15"/>
    </row>
    <row r="40" spans="2:247" s="150" customFormat="1" ht="39.75" customHeight="1">
      <c r="B40" s="593">
        <f t="shared" si="0"/>
        <v>10</v>
      </c>
      <c r="C40" s="904" t="s">
        <v>710</v>
      </c>
      <c r="D40" s="904"/>
      <c r="E40" s="904"/>
      <c r="F40" s="904"/>
      <c r="G40" s="904"/>
      <c r="H40" s="594"/>
      <c r="J40" s="151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14"/>
      <c r="DY40" s="14"/>
      <c r="DZ40" s="14"/>
      <c r="EA40" s="14"/>
      <c r="EB40" s="14"/>
      <c r="EC40" s="14"/>
      <c r="ED40" s="14"/>
      <c r="EE40" s="14"/>
      <c r="EF40" s="14"/>
      <c r="EG40" s="14"/>
      <c r="EH40" s="14"/>
      <c r="EI40" s="14"/>
      <c r="EJ40" s="14"/>
      <c r="EK40" s="14"/>
      <c r="EL40" s="14"/>
      <c r="EM40" s="14"/>
      <c r="EN40" s="14"/>
      <c r="EO40" s="14"/>
      <c r="EP40" s="14"/>
      <c r="EQ40" s="14"/>
      <c r="ER40" s="14"/>
      <c r="ES40" s="14"/>
      <c r="ET40" s="14"/>
      <c r="EU40" s="14"/>
      <c r="EV40" s="14"/>
      <c r="EW40" s="14"/>
      <c r="EX40" s="14"/>
      <c r="EY40" s="14"/>
      <c r="EZ40" s="14"/>
      <c r="FA40" s="14"/>
      <c r="FB40" s="14"/>
      <c r="FC40" s="14"/>
      <c r="FD40" s="14"/>
      <c r="FE40" s="14"/>
      <c r="FF40" s="14"/>
      <c r="FG40" s="14"/>
      <c r="FH40" s="14"/>
      <c r="FI40" s="14"/>
      <c r="FJ40" s="14"/>
      <c r="FK40" s="14"/>
      <c r="FL40" s="14"/>
      <c r="FM40" s="14"/>
      <c r="FN40" s="14"/>
      <c r="FO40" s="14"/>
      <c r="FP40" s="14"/>
      <c r="FQ40" s="14"/>
      <c r="FR40" s="14"/>
      <c r="FS40" s="14"/>
      <c r="FT40" s="14"/>
      <c r="FU40" s="14"/>
      <c r="FV40" s="14"/>
      <c r="FW40" s="14"/>
      <c r="FX40" s="14"/>
      <c r="FY40" s="14"/>
      <c r="FZ40" s="14"/>
      <c r="GA40" s="14"/>
      <c r="GB40" s="14"/>
      <c r="GC40" s="14"/>
      <c r="GD40" s="14"/>
      <c r="GE40" s="14"/>
      <c r="GF40" s="14"/>
      <c r="GG40" s="14"/>
      <c r="GH40" s="14"/>
      <c r="GI40" s="14"/>
      <c r="GJ40" s="14"/>
      <c r="GK40" s="14"/>
      <c r="GL40" s="14"/>
      <c r="GM40" s="14"/>
      <c r="GN40" s="14"/>
      <c r="GO40" s="14"/>
      <c r="GP40" s="14"/>
      <c r="GQ40" s="14"/>
      <c r="GR40" s="14"/>
      <c r="GS40" s="14"/>
      <c r="GT40" s="14"/>
      <c r="GU40" s="14"/>
      <c r="GV40" s="14"/>
      <c r="GW40" s="14"/>
      <c r="GX40" s="14"/>
      <c r="GY40" s="14"/>
      <c r="GZ40" s="14"/>
      <c r="HA40" s="14"/>
      <c r="HB40" s="14"/>
      <c r="HC40" s="14"/>
      <c r="HD40" s="14"/>
      <c r="HE40" s="14"/>
      <c r="HF40" s="14"/>
      <c r="HG40" s="14"/>
      <c r="HH40" s="14"/>
      <c r="HI40" s="14"/>
      <c r="HJ40" s="14"/>
      <c r="HK40" s="14"/>
      <c r="HL40" s="14"/>
      <c r="HM40" s="14"/>
      <c r="HN40" s="14"/>
      <c r="HO40" s="14"/>
      <c r="HP40" s="14"/>
      <c r="HQ40" s="14"/>
      <c r="HR40" s="14"/>
      <c r="HS40" s="14"/>
      <c r="HT40" s="14"/>
      <c r="HU40" s="14"/>
      <c r="HV40" s="14"/>
      <c r="HW40" s="14"/>
      <c r="HX40" s="14"/>
      <c r="HY40" s="14"/>
      <c r="HZ40" s="14"/>
      <c r="IA40" s="14"/>
      <c r="IB40" s="14"/>
      <c r="IC40" s="14"/>
      <c r="ID40" s="14"/>
      <c r="IE40" s="14"/>
      <c r="IF40" s="14"/>
      <c r="IG40" s="15"/>
      <c r="IH40" s="15"/>
      <c r="II40" s="15"/>
      <c r="IJ40" s="15"/>
      <c r="IK40" s="15"/>
      <c r="IL40" s="15"/>
      <c r="IM40" s="15"/>
    </row>
  </sheetData>
  <mergeCells count="35">
    <mergeCell ref="B14:G14"/>
    <mergeCell ref="B3:G3"/>
    <mergeCell ref="B4:G4"/>
    <mergeCell ref="K4:L5"/>
    <mergeCell ref="B5:G5"/>
    <mergeCell ref="B6:C6"/>
    <mergeCell ref="B7:C7"/>
    <mergeCell ref="K7:K9"/>
    <mergeCell ref="L7:L9"/>
    <mergeCell ref="B8:C8"/>
    <mergeCell ref="B9:E9"/>
    <mergeCell ref="B10:G10"/>
    <mergeCell ref="B11:D11"/>
    <mergeCell ref="B12:D12"/>
    <mergeCell ref="B13:F13"/>
    <mergeCell ref="C32:G32"/>
    <mergeCell ref="B15:C15"/>
    <mergeCell ref="B16:C16"/>
    <mergeCell ref="B17:C17"/>
    <mergeCell ref="B19:G19"/>
    <mergeCell ref="B20:G20"/>
    <mergeCell ref="B21:G21"/>
    <mergeCell ref="B22:G22"/>
    <mergeCell ref="B23:G23"/>
    <mergeCell ref="B24:E24"/>
    <mergeCell ref="B25:F25"/>
    <mergeCell ref="C31:G31"/>
    <mergeCell ref="C39:G39"/>
    <mergeCell ref="C40:G40"/>
    <mergeCell ref="C33:G33"/>
    <mergeCell ref="C34:G34"/>
    <mergeCell ref="C35:G35"/>
    <mergeCell ref="C36:G36"/>
    <mergeCell ref="C37:G37"/>
    <mergeCell ref="C38:G38"/>
  </mergeCells>
  <printOptions horizontalCentered="1" verticalCentered="1"/>
  <pageMargins left="0.59055118110236227" right="0.39370078740157483" top="0.39370078740157483" bottom="0.59055118110236227" header="0.51181102362204722" footer="0.51181102362204722"/>
  <pageSetup paperSize="9" scale="52" firstPageNumber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7AA43-E58F-49A7-A4B9-08B56FDB9EC8}">
  <sheetPr>
    <tabColor rgb="FFFFC000"/>
    <pageSetUpPr fitToPage="1"/>
  </sheetPr>
  <dimension ref="B2:IQ42"/>
  <sheetViews>
    <sheetView showGridLines="0" zoomScale="90" zoomScaleNormal="90" zoomScaleSheetLayoutView="90" workbookViewId="0">
      <selection activeCell="I19" sqref="I19"/>
    </sheetView>
  </sheetViews>
  <sheetFormatPr defaultColWidth="9.7109375" defaultRowHeight="15.75"/>
  <cols>
    <col min="1" max="1" width="9.7109375" style="15"/>
    <col min="2" max="2" width="21.85546875" style="14" customWidth="1"/>
    <col min="3" max="3" width="55.7109375" style="14" customWidth="1"/>
    <col min="4" max="4" width="22.42578125" style="14" customWidth="1"/>
    <col min="5" max="5" width="14.140625" style="14" customWidth="1"/>
    <col min="6" max="6" width="20.42578125" style="14" customWidth="1"/>
    <col min="7" max="7" width="31" style="14" customWidth="1"/>
    <col min="8" max="8" width="33" style="150" bestFit="1" customWidth="1"/>
    <col min="9" max="9" width="30.140625" style="150" bestFit="1" customWidth="1"/>
    <col min="10" max="10" width="24.140625" style="151" customWidth="1"/>
    <col min="11" max="11" width="16.85546875" style="150" customWidth="1"/>
    <col min="12" max="12" width="17.140625" style="150" hidden="1" customWidth="1"/>
    <col min="13" max="13" width="16.85546875" style="14" hidden="1" customWidth="1"/>
    <col min="14" max="14" width="13.28515625" style="14" hidden="1" customWidth="1"/>
    <col min="15" max="15" width="46.28515625" style="14" hidden="1" customWidth="1"/>
    <col min="16" max="16" width="15.85546875" style="14" hidden="1" customWidth="1"/>
    <col min="17" max="240" width="9.7109375" style="14"/>
    <col min="241" max="16384" width="9.7109375" style="15"/>
  </cols>
  <sheetData>
    <row r="2" spans="2:251" s="14" customFormat="1">
      <c r="H2" s="150"/>
      <c r="I2" s="150"/>
      <c r="J2" s="151"/>
      <c r="K2" s="150"/>
      <c r="L2" s="150"/>
      <c r="IG2" s="15"/>
      <c r="IH2" s="15"/>
      <c r="II2" s="15"/>
      <c r="IJ2" s="15"/>
      <c r="IK2" s="15"/>
      <c r="IL2" s="15"/>
      <c r="IM2" s="15"/>
    </row>
    <row r="3" spans="2:251" ht="32.25" customHeight="1">
      <c r="B3" s="919" t="s">
        <v>629</v>
      </c>
      <c r="C3" s="920"/>
      <c r="D3" s="920"/>
      <c r="E3" s="920"/>
      <c r="F3" s="920"/>
      <c r="G3" s="921"/>
      <c r="H3" s="191"/>
      <c r="J3" s="150"/>
      <c r="K3" s="151"/>
      <c r="M3" s="150"/>
    </row>
    <row r="4" spans="2:251" s="14" customFormat="1" ht="22.5" customHeight="1">
      <c r="B4" s="922" t="s">
        <v>1206</v>
      </c>
      <c r="C4" s="923"/>
      <c r="D4" s="923"/>
      <c r="E4" s="923"/>
      <c r="F4" s="923"/>
      <c r="G4" s="924"/>
      <c r="H4" s="192"/>
      <c r="I4" s="192"/>
      <c r="J4" s="192"/>
      <c r="K4" s="150"/>
      <c r="L4" s="150"/>
      <c r="M4" s="151"/>
      <c r="O4" s="957" t="s">
        <v>628</v>
      </c>
      <c r="P4" s="958"/>
      <c r="II4" s="15"/>
      <c r="IJ4" s="15"/>
      <c r="IK4" s="15"/>
      <c r="IL4" s="15"/>
      <c r="IM4" s="15"/>
      <c r="IN4" s="15"/>
      <c r="IO4" s="15"/>
    </row>
    <row r="5" spans="2:251" s="14" customFormat="1">
      <c r="B5" s="922" t="s">
        <v>627</v>
      </c>
      <c r="C5" s="923"/>
      <c r="D5" s="923"/>
      <c r="E5" s="923"/>
      <c r="F5" s="923"/>
      <c r="G5" s="924"/>
      <c r="H5" s="192"/>
      <c r="I5" s="192"/>
      <c r="J5" s="192"/>
      <c r="K5" s="192"/>
      <c r="L5" s="150"/>
      <c r="M5" s="150"/>
      <c r="N5" s="151"/>
      <c r="O5" s="959"/>
      <c r="P5" s="960"/>
      <c r="IJ5" s="15"/>
      <c r="IK5" s="15"/>
      <c r="IL5" s="15"/>
      <c r="IM5" s="15"/>
      <c r="IN5" s="15"/>
      <c r="IO5" s="15"/>
      <c r="IP5" s="15"/>
    </row>
    <row r="6" spans="2:251" s="14" customFormat="1" ht="40.5" customHeight="1">
      <c r="B6" s="926" t="s">
        <v>105</v>
      </c>
      <c r="C6" s="927"/>
      <c r="D6" s="189" t="s">
        <v>57</v>
      </c>
      <c r="E6" s="189" t="s">
        <v>626</v>
      </c>
      <c r="F6" s="190" t="s">
        <v>106</v>
      </c>
      <c r="G6" s="189" t="s">
        <v>625</v>
      </c>
      <c r="H6" s="193"/>
      <c r="I6" s="193"/>
      <c r="J6" s="193"/>
      <c r="K6" s="193"/>
      <c r="L6" s="194" t="s">
        <v>624</v>
      </c>
      <c r="M6" s="195" t="s">
        <v>623</v>
      </c>
      <c r="N6" s="186" t="s">
        <v>104</v>
      </c>
      <c r="O6" s="185" t="s">
        <v>622</v>
      </c>
      <c r="P6" s="185" t="s">
        <v>621</v>
      </c>
      <c r="IJ6" s="15"/>
      <c r="IK6" s="15"/>
      <c r="IL6" s="15"/>
      <c r="IM6" s="15"/>
      <c r="IN6" s="15"/>
      <c r="IO6" s="15"/>
      <c r="IP6" s="15"/>
    </row>
    <row r="7" spans="2:251" ht="21" customHeight="1">
      <c r="B7" s="905" t="s">
        <v>675</v>
      </c>
      <c r="C7" s="906" t="s">
        <v>1155</v>
      </c>
      <c r="D7" s="164" t="s">
        <v>5</v>
      </c>
      <c r="E7" s="184">
        <v>2</v>
      </c>
      <c r="F7" s="171">
        <f>ROUND(Enfermeiro_2025!E73,2)</f>
        <v>9919.2900000000009</v>
      </c>
      <c r="G7" s="171">
        <f t="shared" ref="G7:G8" si="0">ROUND(E7*F7,2)</f>
        <v>19838.580000000002</v>
      </c>
      <c r="H7" s="595"/>
      <c r="I7" s="196"/>
      <c r="J7" s="196"/>
      <c r="K7" s="196"/>
      <c r="L7" s="181">
        <f>ROUND((F7+F7*E11+F7*E12+F7*E11*E12)/(1-D18),2)</f>
        <v>12386.97</v>
      </c>
      <c r="M7" s="596">
        <f>ROUND(L7*E7,2)</f>
        <v>24773.94</v>
      </c>
      <c r="N7" s="182" t="e">
        <f>M7/M10</f>
        <v>#REF!</v>
      </c>
      <c r="O7" s="961"/>
      <c r="P7" s="961"/>
      <c r="IG7" s="14"/>
      <c r="IH7" s="14"/>
      <c r="II7" s="14"/>
    </row>
    <row r="8" spans="2:251" ht="21" customHeight="1" thickBot="1">
      <c r="B8" s="905" t="s">
        <v>1174</v>
      </c>
      <c r="C8" s="906"/>
      <c r="D8" s="164" t="s">
        <v>5</v>
      </c>
      <c r="E8" s="184">
        <v>1</v>
      </c>
      <c r="F8" s="171">
        <f>ROUND(Enfermeiro_2025!E73,2)</f>
        <v>9919.2900000000009</v>
      </c>
      <c r="G8" s="171">
        <f t="shared" si="0"/>
        <v>9919.2900000000009</v>
      </c>
      <c r="H8" s="595"/>
      <c r="I8" s="196"/>
      <c r="J8" s="196"/>
      <c r="K8" s="196"/>
      <c r="L8" s="181"/>
      <c r="M8" s="596"/>
      <c r="N8" s="182"/>
      <c r="O8" s="961"/>
      <c r="P8" s="961"/>
      <c r="IG8" s="14"/>
      <c r="IH8" s="14"/>
      <c r="II8" s="14"/>
    </row>
    <row r="9" spans="2:251" ht="21" customHeight="1" thickBot="1">
      <c r="B9" s="930" t="s">
        <v>620</v>
      </c>
      <c r="C9" s="931"/>
      <c r="D9" s="931"/>
      <c r="E9" s="932"/>
      <c r="F9" s="178" t="s">
        <v>6</v>
      </c>
      <c r="G9" s="177">
        <f>ROUND(SUM(G7:G8),2)</f>
        <v>29757.87</v>
      </c>
      <c r="H9" s="597"/>
      <c r="I9" s="197"/>
      <c r="J9" s="197"/>
      <c r="K9" s="197"/>
      <c r="L9" s="181"/>
      <c r="M9" s="198">
        <f>SUM(M7:M7)</f>
        <v>24773.94</v>
      </c>
      <c r="N9" s="179" t="e">
        <f>M9/M10</f>
        <v>#REF!</v>
      </c>
      <c r="O9" s="929"/>
      <c r="P9" s="929"/>
      <c r="IG9" s="14"/>
      <c r="IH9" s="14"/>
      <c r="II9" s="14"/>
    </row>
    <row r="10" spans="2:251" s="14" customFormat="1" ht="26.1" customHeight="1" thickBot="1">
      <c r="B10" s="962" t="s">
        <v>619</v>
      </c>
      <c r="C10" s="962"/>
      <c r="D10" s="962"/>
      <c r="E10" s="962"/>
      <c r="F10" s="962"/>
      <c r="G10" s="962"/>
      <c r="H10" s="192"/>
      <c r="I10" s="192"/>
      <c r="J10" s="192"/>
      <c r="K10" s="192"/>
      <c r="L10" s="150"/>
      <c r="M10" s="199" t="e">
        <f>SUM(M9,#REF!,#REF!,#REF!)</f>
        <v>#REF!</v>
      </c>
      <c r="N10" s="179" t="e">
        <f>#REF!+#REF!+#REF!+N9</f>
        <v>#REF!</v>
      </c>
      <c r="O10" s="200"/>
      <c r="P10" s="199" t="e">
        <f>#REF!+#REF!+#REF!+#REF!</f>
        <v>#REF!</v>
      </c>
      <c r="IK10" s="15"/>
      <c r="IL10" s="15"/>
      <c r="IM10" s="15"/>
      <c r="IN10" s="15"/>
      <c r="IO10" s="15"/>
      <c r="IP10" s="15"/>
      <c r="IQ10" s="15"/>
    </row>
    <row r="11" spans="2:251" s="14" customFormat="1" ht="17.25" customHeight="1" thickBot="1">
      <c r="B11" s="934" t="s">
        <v>618</v>
      </c>
      <c r="C11" s="935"/>
      <c r="D11" s="936"/>
      <c r="E11" s="175">
        <v>1.500051E-2</v>
      </c>
      <c r="F11" s="178" t="s">
        <v>7</v>
      </c>
      <c r="G11" s="177">
        <f>ROUND(E11*G9,2)</f>
        <v>446.38</v>
      </c>
      <c r="H11" s="197"/>
      <c r="I11" s="197"/>
      <c r="J11" s="197"/>
      <c r="K11" s="197"/>
      <c r="L11" s="150"/>
      <c r="M11" s="150"/>
      <c r="N11" s="151"/>
      <c r="O11" s="150"/>
      <c r="P11" s="150"/>
      <c r="IK11" s="15"/>
      <c r="IL11" s="15"/>
      <c r="IM11" s="15"/>
      <c r="IN11" s="15"/>
      <c r="IO11" s="15"/>
      <c r="IP11" s="15"/>
      <c r="IQ11" s="15"/>
    </row>
    <row r="12" spans="2:251" s="14" customFormat="1" ht="17.25" customHeight="1" thickBot="1">
      <c r="B12" s="934" t="s">
        <v>617</v>
      </c>
      <c r="C12" s="935"/>
      <c r="D12" s="936"/>
      <c r="E12" s="201">
        <v>0.12389782756213705</v>
      </c>
      <c r="F12" s="178" t="s">
        <v>8</v>
      </c>
      <c r="G12" s="177">
        <f>ROUND(((G9+G11)*E12),2)</f>
        <v>3742.24</v>
      </c>
      <c r="H12" s="197"/>
      <c r="I12" s="197"/>
      <c r="J12" s="197"/>
      <c r="K12" s="197"/>
      <c r="L12" s="150"/>
      <c r="M12" s="150"/>
      <c r="N12" s="151"/>
      <c r="O12" s="150"/>
      <c r="P12" s="150"/>
      <c r="IK12" s="15"/>
      <c r="IL12" s="15"/>
      <c r="IM12" s="15"/>
      <c r="IN12" s="15"/>
      <c r="IO12" s="15"/>
      <c r="IP12" s="15"/>
      <c r="IQ12" s="15"/>
    </row>
    <row r="13" spans="2:251" s="14" customFormat="1" ht="19.5" customHeight="1">
      <c r="B13" s="937" t="s">
        <v>616</v>
      </c>
      <c r="C13" s="937"/>
      <c r="D13" s="937"/>
      <c r="E13" s="937"/>
      <c r="F13" s="937"/>
      <c r="G13" s="176">
        <f>SUM(G11:G12)</f>
        <v>4188.62</v>
      </c>
      <c r="H13" s="202"/>
      <c r="I13" s="202"/>
      <c r="J13" s="202"/>
      <c r="K13" s="202"/>
      <c r="L13" s="150"/>
      <c r="M13" s="150"/>
      <c r="N13" s="151"/>
      <c r="O13" s="150"/>
      <c r="P13" s="150"/>
      <c r="IK13" s="15"/>
      <c r="IL13" s="15"/>
      <c r="IM13" s="15"/>
      <c r="IN13" s="15"/>
      <c r="IO13" s="15"/>
      <c r="IP13" s="15"/>
      <c r="IQ13" s="15"/>
    </row>
    <row r="14" spans="2:251" s="14" customFormat="1" ht="17.25" customHeight="1">
      <c r="B14" s="956" t="s">
        <v>615</v>
      </c>
      <c r="C14" s="956"/>
      <c r="D14" s="956"/>
      <c r="E14" s="956"/>
      <c r="F14" s="956"/>
      <c r="G14" s="956"/>
      <c r="H14" s="193"/>
      <c r="I14" s="193"/>
      <c r="J14" s="193"/>
      <c r="K14" s="193"/>
      <c r="L14" s="150"/>
      <c r="M14" s="150"/>
      <c r="N14" s="151"/>
      <c r="O14" s="150"/>
      <c r="P14" s="150"/>
      <c r="IK14" s="15"/>
      <c r="IL14" s="15"/>
      <c r="IM14" s="15"/>
      <c r="IN14" s="15"/>
      <c r="IO14" s="15"/>
      <c r="IP14" s="15"/>
      <c r="IQ14" s="15"/>
    </row>
    <row r="15" spans="2:251" s="14" customFormat="1" ht="17.25" customHeight="1">
      <c r="B15" s="905" t="s">
        <v>84</v>
      </c>
      <c r="C15" s="906"/>
      <c r="D15" s="175">
        <v>0.05</v>
      </c>
      <c r="E15" s="173"/>
      <c r="F15" s="172"/>
      <c r="G15" s="171">
        <f>D15*$G$24</f>
        <v>1858.0455000000002</v>
      </c>
      <c r="H15" s="196"/>
      <c r="I15" s="196"/>
      <c r="J15" s="196"/>
      <c r="K15" s="196"/>
      <c r="L15" s="150"/>
      <c r="M15" s="150"/>
      <c r="N15" s="151"/>
      <c r="O15" s="150"/>
      <c r="P15" s="150"/>
      <c r="IK15" s="15"/>
      <c r="IL15" s="15"/>
      <c r="IM15" s="15"/>
      <c r="IN15" s="15"/>
      <c r="IO15" s="15"/>
      <c r="IP15" s="15"/>
      <c r="IQ15" s="15"/>
    </row>
    <row r="16" spans="2:251" s="14" customFormat="1" ht="17.25" customHeight="1">
      <c r="B16" s="905" t="s">
        <v>2</v>
      </c>
      <c r="C16" s="906"/>
      <c r="D16" s="175">
        <v>6.4999999999999997E-3</v>
      </c>
      <c r="E16" s="173"/>
      <c r="F16" s="172"/>
      <c r="G16" s="171">
        <f>D16*$G$24</f>
        <v>241.54591500000001</v>
      </c>
      <c r="H16" s="196"/>
      <c r="I16" s="196"/>
      <c r="J16" s="196"/>
      <c r="K16" s="196"/>
      <c r="L16" s="150"/>
      <c r="M16" s="150"/>
      <c r="N16" s="151"/>
      <c r="O16" s="150"/>
      <c r="P16" s="150"/>
      <c r="IK16" s="15"/>
      <c r="IL16" s="15"/>
      <c r="IM16" s="15"/>
      <c r="IN16" s="15"/>
      <c r="IO16" s="15"/>
      <c r="IP16" s="15"/>
      <c r="IQ16" s="15"/>
    </row>
    <row r="17" spans="2:251" s="14" customFormat="1" ht="17.25" customHeight="1" thickBot="1">
      <c r="B17" s="907" t="s">
        <v>3</v>
      </c>
      <c r="C17" s="908"/>
      <c r="D17" s="174">
        <v>0.03</v>
      </c>
      <c r="E17" s="173"/>
      <c r="F17" s="172"/>
      <c r="G17" s="171">
        <f>D17*$G$24</f>
        <v>1114.8273000000002</v>
      </c>
      <c r="H17" s="196"/>
      <c r="I17" s="196"/>
      <c r="J17" s="196"/>
      <c r="K17" s="196"/>
      <c r="L17" s="150"/>
      <c r="M17" s="150"/>
      <c r="N17" s="151"/>
      <c r="O17" s="150"/>
      <c r="P17" s="150"/>
      <c r="IK17" s="15"/>
      <c r="IL17" s="15"/>
      <c r="IM17" s="15"/>
      <c r="IN17" s="15"/>
      <c r="IO17" s="15"/>
      <c r="IP17" s="15"/>
      <c r="IQ17" s="15"/>
    </row>
    <row r="18" spans="2:251" s="14" customFormat="1" ht="20.25" customHeight="1" thickBot="1">
      <c r="B18" s="170" t="s">
        <v>614</v>
      </c>
      <c r="C18" s="169" t="s">
        <v>107</v>
      </c>
      <c r="D18" s="168">
        <f>SUM(D15:D17)</f>
        <v>8.6499999999999994E-2</v>
      </c>
      <c r="E18" s="167"/>
      <c r="F18" s="166" t="s">
        <v>108</v>
      </c>
      <c r="G18" s="165">
        <f>ROUND(SUM(G15:G17),2)</f>
        <v>3214.42</v>
      </c>
      <c r="H18" s="203"/>
      <c r="I18" s="203"/>
      <c r="J18" s="203"/>
      <c r="K18" s="156"/>
      <c r="L18" s="150"/>
      <c r="M18" s="151"/>
      <c r="N18" s="150"/>
      <c r="O18" s="150"/>
      <c r="IJ18" s="15"/>
      <c r="IK18" s="15"/>
      <c r="IL18" s="15"/>
      <c r="IM18" s="15"/>
      <c r="IN18" s="15"/>
      <c r="IO18" s="15"/>
      <c r="IP18" s="15"/>
    </row>
    <row r="19" spans="2:251" s="14" customFormat="1" ht="17.25" customHeight="1">
      <c r="B19" s="909" t="s">
        <v>613</v>
      </c>
      <c r="C19" s="910"/>
      <c r="D19" s="910"/>
      <c r="E19" s="911"/>
      <c r="F19" s="911"/>
      <c r="G19" s="911"/>
      <c r="H19" s="159"/>
      <c r="I19" s="159"/>
      <c r="J19" s="159"/>
      <c r="K19" s="150"/>
      <c r="L19" s="150"/>
      <c r="M19" s="151"/>
      <c r="N19" s="150"/>
      <c r="O19" s="150"/>
      <c r="IJ19" s="15"/>
      <c r="IK19" s="15"/>
      <c r="IL19" s="15"/>
      <c r="IM19" s="15"/>
      <c r="IN19" s="15"/>
      <c r="IO19" s="15"/>
      <c r="IP19" s="15"/>
    </row>
    <row r="20" spans="2:251" s="14" customFormat="1" ht="17.25" customHeight="1">
      <c r="B20" s="910" t="s">
        <v>612</v>
      </c>
      <c r="C20" s="910"/>
      <c r="D20" s="910"/>
      <c r="E20" s="910"/>
      <c r="F20" s="910"/>
      <c r="G20" s="910"/>
      <c r="H20" s="159"/>
      <c r="I20" s="159"/>
      <c r="J20" s="159"/>
      <c r="K20" s="150"/>
      <c r="L20" s="150"/>
      <c r="M20" s="151"/>
      <c r="N20" s="150"/>
      <c r="O20" s="150"/>
      <c r="IJ20" s="15"/>
      <c r="IK20" s="15"/>
      <c r="IL20" s="15"/>
      <c r="IM20" s="15"/>
      <c r="IN20" s="15"/>
      <c r="IO20" s="15"/>
      <c r="IP20" s="15"/>
    </row>
    <row r="21" spans="2:251" s="14" customFormat="1" ht="17.25" customHeight="1">
      <c r="B21" s="910" t="s">
        <v>611</v>
      </c>
      <c r="C21" s="910"/>
      <c r="D21" s="910"/>
      <c r="E21" s="910"/>
      <c r="F21" s="910"/>
      <c r="G21" s="910"/>
      <c r="H21" s="159"/>
      <c r="I21" s="159"/>
      <c r="J21" s="159"/>
      <c r="K21" s="150"/>
      <c r="L21" s="150"/>
      <c r="M21" s="151"/>
      <c r="N21" s="150"/>
      <c r="O21" s="150"/>
      <c r="IJ21" s="15"/>
      <c r="IK21" s="15"/>
      <c r="IL21" s="15"/>
      <c r="IM21" s="15"/>
      <c r="IN21" s="15"/>
      <c r="IO21" s="15"/>
      <c r="IP21" s="15"/>
    </row>
    <row r="22" spans="2:251" s="14" customFormat="1" ht="17.25" customHeight="1">
      <c r="B22" s="909" t="s">
        <v>85</v>
      </c>
      <c r="C22" s="909"/>
      <c r="D22" s="909"/>
      <c r="E22" s="909"/>
      <c r="F22" s="909"/>
      <c r="G22" s="909"/>
      <c r="H22" s="193"/>
      <c r="I22" s="193"/>
      <c r="J22" s="193"/>
      <c r="K22" s="150"/>
      <c r="L22" s="150"/>
      <c r="M22" s="151"/>
      <c r="N22" s="150"/>
      <c r="O22" s="150"/>
      <c r="IJ22" s="15"/>
      <c r="IK22" s="15"/>
      <c r="IL22" s="15"/>
      <c r="IM22" s="15"/>
      <c r="IN22" s="15"/>
      <c r="IO22" s="15"/>
      <c r="IP22" s="15"/>
    </row>
    <row r="23" spans="2:251" s="14" customFormat="1" ht="17.25" customHeight="1" thickBot="1">
      <c r="B23" s="912" t="s">
        <v>610</v>
      </c>
      <c r="C23" s="912"/>
      <c r="D23" s="912"/>
      <c r="E23" s="912"/>
      <c r="F23" s="912"/>
      <c r="G23" s="912"/>
      <c r="H23" s="159"/>
      <c r="I23" s="159"/>
      <c r="J23" s="159"/>
      <c r="K23" s="156"/>
      <c r="L23" s="150"/>
      <c r="M23" s="152"/>
      <c r="N23" s="150"/>
      <c r="O23" s="150"/>
      <c r="IJ23" s="15"/>
      <c r="IK23" s="15"/>
      <c r="IL23" s="15"/>
      <c r="IM23" s="15"/>
      <c r="IN23" s="15"/>
      <c r="IO23" s="15"/>
      <c r="IP23" s="15"/>
    </row>
    <row r="24" spans="2:251" s="14" customFormat="1" ht="23.1" customHeight="1" thickBot="1">
      <c r="B24" s="913" t="s">
        <v>609</v>
      </c>
      <c r="C24" s="913"/>
      <c r="D24" s="913"/>
      <c r="E24" s="914"/>
      <c r="F24" s="163" t="s">
        <v>109</v>
      </c>
      <c r="G24" s="162">
        <f>ROUND((G9+G13)/(1-D18),2)</f>
        <v>37160.910000000003</v>
      </c>
      <c r="H24" s="204"/>
      <c r="I24" s="152"/>
      <c r="J24" s="150"/>
      <c r="K24" s="151"/>
      <c r="L24" s="150"/>
      <c r="M24" s="150"/>
      <c r="IH24" s="15"/>
      <c r="II24" s="15"/>
      <c r="IJ24" s="15"/>
      <c r="IK24" s="15"/>
      <c r="IL24" s="15"/>
      <c r="IM24" s="15"/>
      <c r="IN24" s="15"/>
    </row>
    <row r="25" spans="2:251" s="14" customFormat="1" ht="24.95" customHeight="1">
      <c r="B25" s="915" t="s">
        <v>1207</v>
      </c>
      <c r="C25" s="916"/>
      <c r="D25" s="916"/>
      <c r="E25" s="916"/>
      <c r="F25" s="917"/>
      <c r="G25" s="161">
        <f>G24*24</f>
        <v>891861.84000000008</v>
      </c>
      <c r="H25" s="205"/>
      <c r="I25" s="206">
        <f>3577846.56-G25</f>
        <v>2685984.7199999997</v>
      </c>
      <c r="J25" s="150"/>
      <c r="K25" s="151"/>
      <c r="L25" s="150"/>
      <c r="M25" s="150"/>
      <c r="IH25" s="15"/>
      <c r="II25" s="15"/>
      <c r="IJ25" s="15"/>
      <c r="IK25" s="15"/>
      <c r="IL25" s="15"/>
      <c r="IM25" s="15"/>
      <c r="IN25" s="15"/>
    </row>
    <row r="26" spans="2:251" s="14" customFormat="1">
      <c r="B26" s="159"/>
      <c r="C26" s="159"/>
      <c r="D26" s="159"/>
      <c r="E26" s="159"/>
      <c r="F26" s="159"/>
      <c r="G26" s="159"/>
      <c r="H26" s="150"/>
      <c r="I26" s="150"/>
      <c r="J26" s="151"/>
      <c r="K26" s="150"/>
      <c r="L26" s="150"/>
      <c r="IG26" s="15"/>
      <c r="IH26" s="15"/>
      <c r="II26" s="15"/>
      <c r="IJ26" s="15"/>
      <c r="IK26" s="15"/>
      <c r="IL26" s="15"/>
      <c r="IM26" s="15"/>
    </row>
    <row r="27" spans="2:251" s="14" customFormat="1" ht="18">
      <c r="B27" s="159"/>
      <c r="C27" s="159"/>
      <c r="D27" s="159"/>
      <c r="E27" s="159"/>
      <c r="F27" s="158" t="s">
        <v>110</v>
      </c>
      <c r="G27" s="157">
        <f>(G18+G13)/G9</f>
        <v>0.24877587004715057</v>
      </c>
      <c r="H27" s="150"/>
      <c r="I27" s="150"/>
      <c r="J27" s="151"/>
      <c r="K27" s="150"/>
      <c r="L27" s="150"/>
      <c r="IG27" s="15"/>
      <c r="IH27" s="15"/>
      <c r="II27" s="15"/>
      <c r="IJ27" s="15"/>
      <c r="IK27" s="15"/>
      <c r="IL27" s="15"/>
      <c r="IM27" s="15"/>
    </row>
    <row r="28" spans="2:251" s="14" customFormat="1">
      <c r="H28" s="150"/>
      <c r="I28" s="150"/>
      <c r="J28" s="151"/>
      <c r="K28" s="150"/>
      <c r="L28" s="150"/>
      <c r="IG28" s="15"/>
      <c r="IH28" s="15"/>
      <c r="II28" s="15"/>
      <c r="IJ28" s="15"/>
      <c r="IK28" s="15"/>
      <c r="IL28" s="15"/>
      <c r="IM28" s="15"/>
    </row>
    <row r="29" spans="2:251" ht="24.75" customHeight="1">
      <c r="B29" s="953" t="s">
        <v>630</v>
      </c>
      <c r="C29" s="954"/>
      <c r="D29" s="954"/>
      <c r="E29" s="954"/>
      <c r="F29" s="954"/>
      <c r="G29" s="954"/>
      <c r="H29" s="955"/>
      <c r="I29" s="1"/>
      <c r="J29" s="1"/>
    </row>
    <row r="30" spans="2:251" ht="21.75" customHeight="1">
      <c r="B30" s="952" t="s">
        <v>53</v>
      </c>
      <c r="C30" s="952"/>
      <c r="D30" s="952"/>
      <c r="E30" s="952"/>
      <c r="F30" s="952"/>
      <c r="G30" s="207" t="s">
        <v>631</v>
      </c>
      <c r="H30" s="207" t="s">
        <v>632</v>
      </c>
      <c r="I30" s="208"/>
      <c r="J30" s="209"/>
    </row>
    <row r="31" spans="2:251" ht="18">
      <c r="B31" s="941" t="s">
        <v>633</v>
      </c>
      <c r="C31" s="941"/>
      <c r="D31" s="941"/>
      <c r="E31" s="941"/>
      <c r="F31" s="941"/>
      <c r="G31" s="210"/>
      <c r="H31" s="211">
        <f>G24</f>
        <v>37160.910000000003</v>
      </c>
      <c r="I31" s="212"/>
      <c r="J31" s="209"/>
    </row>
    <row r="32" spans="2:251" ht="18.75" thickBot="1">
      <c r="B32" s="941" t="s">
        <v>634</v>
      </c>
      <c r="C32" s="941"/>
      <c r="D32" s="941"/>
      <c r="E32" s="941"/>
      <c r="F32" s="941"/>
      <c r="G32" s="213">
        <v>0.32</v>
      </c>
      <c r="H32" s="211">
        <f>G32*H31</f>
        <v>11891.491200000002</v>
      </c>
      <c r="I32" s="212"/>
      <c r="J32" s="209"/>
    </row>
    <row r="33" spans="2:251" ht="18">
      <c r="B33" s="941" t="s">
        <v>635</v>
      </c>
      <c r="C33" s="941"/>
      <c r="D33" s="941"/>
      <c r="E33" s="941"/>
      <c r="F33" s="941"/>
      <c r="G33" s="213">
        <v>0.15</v>
      </c>
      <c r="H33" s="211">
        <f>G33*H32</f>
        <v>1783.7236800000003</v>
      </c>
      <c r="I33" s="212"/>
      <c r="J33" s="209"/>
    </row>
    <row r="34" spans="2:251" ht="18">
      <c r="B34" s="941" t="s">
        <v>636</v>
      </c>
      <c r="C34" s="941"/>
      <c r="D34" s="941"/>
      <c r="E34" s="941"/>
      <c r="F34" s="941"/>
      <c r="G34" s="213">
        <v>0.1</v>
      </c>
      <c r="H34" s="211">
        <f>IF((H32-20000)&lt;=0,0,(H32-20000)*G34)</f>
        <v>0</v>
      </c>
      <c r="I34" s="212"/>
      <c r="J34" s="209"/>
    </row>
    <row r="35" spans="2:251" ht="18">
      <c r="B35" s="942" t="s">
        <v>637</v>
      </c>
      <c r="C35" s="943"/>
      <c r="D35" s="943"/>
      <c r="E35" s="943"/>
      <c r="F35" s="944"/>
      <c r="G35" s="213"/>
      <c r="H35" s="214">
        <f>H33+H34</f>
        <v>1783.7236800000003</v>
      </c>
      <c r="I35" s="215"/>
      <c r="J35" s="209"/>
    </row>
    <row r="36" spans="2:251" s="150" customFormat="1" ht="22.5" customHeight="1">
      <c r="B36" s="941" t="s">
        <v>638</v>
      </c>
      <c r="C36" s="941"/>
      <c r="D36" s="941"/>
      <c r="E36" s="941"/>
      <c r="F36" s="941"/>
      <c r="G36" s="213">
        <v>0.32</v>
      </c>
      <c r="H36" s="211">
        <f>H31*G36</f>
        <v>11891.491200000002</v>
      </c>
      <c r="I36" s="216"/>
      <c r="J36" s="209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5"/>
      <c r="IH36" s="15"/>
      <c r="II36" s="15"/>
      <c r="IJ36" s="15"/>
      <c r="IK36" s="15"/>
      <c r="IL36" s="15"/>
      <c r="IM36" s="15"/>
      <c r="IN36" s="15"/>
      <c r="IO36" s="15"/>
      <c r="IP36" s="15"/>
      <c r="IQ36" s="15"/>
    </row>
    <row r="37" spans="2:251" s="150" customFormat="1" ht="23.25" customHeight="1" thickBot="1">
      <c r="B37" s="945" t="s">
        <v>639</v>
      </c>
      <c r="C37" s="946"/>
      <c r="D37" s="946"/>
      <c r="E37" s="946"/>
      <c r="F37" s="947"/>
      <c r="G37" s="217">
        <v>0.09</v>
      </c>
      <c r="H37" s="218">
        <f>G37*H36</f>
        <v>1070.2342080000001</v>
      </c>
      <c r="I37" s="215"/>
      <c r="J37" s="209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5"/>
      <c r="IH37" s="15"/>
      <c r="II37" s="15"/>
      <c r="IJ37" s="15"/>
      <c r="IK37" s="15"/>
      <c r="IL37" s="15"/>
      <c r="IM37" s="15"/>
      <c r="IN37" s="15"/>
      <c r="IO37" s="15"/>
      <c r="IP37" s="15"/>
      <c r="IQ37" s="15"/>
    </row>
    <row r="38" spans="2:251" s="150" customFormat="1" ht="27" customHeight="1" thickTop="1" thickBot="1">
      <c r="B38" s="945" t="s">
        <v>640</v>
      </c>
      <c r="C38" s="946"/>
      <c r="D38" s="946"/>
      <c r="E38" s="946"/>
      <c r="F38" s="946"/>
      <c r="G38" s="219" t="s">
        <v>641</v>
      </c>
      <c r="H38" s="220">
        <f>H35+H37</f>
        <v>2853.9578880000004</v>
      </c>
      <c r="I38" s="221"/>
      <c r="J38" s="222" t="s">
        <v>642</v>
      </c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5"/>
      <c r="IH38" s="15"/>
      <c r="II38" s="15"/>
      <c r="IJ38" s="15"/>
      <c r="IK38" s="15"/>
      <c r="IL38" s="15"/>
      <c r="IM38" s="15"/>
      <c r="IN38" s="15"/>
      <c r="IO38" s="15"/>
      <c r="IP38" s="15"/>
      <c r="IQ38" s="15"/>
    </row>
    <row r="39" spans="2:251" s="150" customFormat="1" ht="27" customHeight="1" thickTop="1" thickBot="1">
      <c r="B39" s="945" t="s">
        <v>643</v>
      </c>
      <c r="C39" s="946"/>
      <c r="D39" s="946"/>
      <c r="E39" s="946"/>
      <c r="F39" s="946"/>
      <c r="G39" s="223" t="s">
        <v>11</v>
      </c>
      <c r="H39" s="224">
        <f>G12</f>
        <v>3742.24</v>
      </c>
      <c r="I39" s="221"/>
      <c r="J39" s="225" t="str">
        <f>IF(H39&gt;=H38,"ok","desclassificar")</f>
        <v>ok</v>
      </c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  <c r="GW39" s="14"/>
      <c r="GX39" s="14"/>
      <c r="GY39" s="14"/>
      <c r="GZ39" s="14"/>
      <c r="HA39" s="14"/>
      <c r="HB39" s="14"/>
      <c r="HC39" s="14"/>
      <c r="HD39" s="14"/>
      <c r="HE39" s="14"/>
      <c r="HF39" s="14"/>
      <c r="HG39" s="14"/>
      <c r="HH39" s="14"/>
      <c r="HI39" s="14"/>
      <c r="HJ39" s="14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  <c r="HW39" s="14"/>
      <c r="HX39" s="14"/>
      <c r="HY39" s="14"/>
      <c r="HZ39" s="14"/>
      <c r="IA39" s="14"/>
      <c r="IB39" s="14"/>
      <c r="IC39" s="14"/>
      <c r="ID39" s="14"/>
      <c r="IE39" s="14"/>
      <c r="IF39" s="14"/>
      <c r="IG39" s="15"/>
      <c r="IH39" s="15"/>
      <c r="II39" s="15"/>
      <c r="IJ39" s="15"/>
      <c r="IK39" s="15"/>
      <c r="IL39" s="15"/>
      <c r="IM39" s="15"/>
      <c r="IN39" s="15"/>
      <c r="IO39" s="15"/>
      <c r="IP39" s="15"/>
      <c r="IQ39" s="15"/>
    </row>
    <row r="40" spans="2:251" s="150" customFormat="1" ht="30.75" customHeight="1" thickTop="1" thickBot="1">
      <c r="B40" s="948" t="s">
        <v>644</v>
      </c>
      <c r="C40" s="948"/>
      <c r="D40" s="948"/>
      <c r="E40" s="948"/>
      <c r="F40" s="948"/>
      <c r="G40" s="949"/>
      <c r="H40" s="226" t="s">
        <v>645</v>
      </c>
      <c r="I40" s="1"/>
      <c r="J40" s="225" t="s">
        <v>646</v>
      </c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14"/>
      <c r="DY40" s="14"/>
      <c r="DZ40" s="14"/>
      <c r="EA40" s="14"/>
      <c r="EB40" s="14"/>
      <c r="EC40" s="14"/>
      <c r="ED40" s="14"/>
      <c r="EE40" s="14"/>
      <c r="EF40" s="14"/>
      <c r="EG40" s="14"/>
      <c r="EH40" s="14"/>
      <c r="EI40" s="14"/>
      <c r="EJ40" s="14"/>
      <c r="EK40" s="14"/>
      <c r="EL40" s="14"/>
      <c r="EM40" s="14"/>
      <c r="EN40" s="14"/>
      <c r="EO40" s="14"/>
      <c r="EP40" s="14"/>
      <c r="EQ40" s="14"/>
      <c r="ER40" s="14"/>
      <c r="ES40" s="14"/>
      <c r="ET40" s="14"/>
      <c r="EU40" s="14"/>
      <c r="EV40" s="14"/>
      <c r="EW40" s="14"/>
      <c r="EX40" s="14"/>
      <c r="EY40" s="14"/>
      <c r="EZ40" s="14"/>
      <c r="FA40" s="14"/>
      <c r="FB40" s="14"/>
      <c r="FC40" s="14"/>
      <c r="FD40" s="14"/>
      <c r="FE40" s="14"/>
      <c r="FF40" s="14"/>
      <c r="FG40" s="14"/>
      <c r="FH40" s="14"/>
      <c r="FI40" s="14"/>
      <c r="FJ40" s="14"/>
      <c r="FK40" s="14"/>
      <c r="FL40" s="14"/>
      <c r="FM40" s="14"/>
      <c r="FN40" s="14"/>
      <c r="FO40" s="14"/>
      <c r="FP40" s="14"/>
      <c r="FQ40" s="14"/>
      <c r="FR40" s="14"/>
      <c r="FS40" s="14"/>
      <c r="FT40" s="14"/>
      <c r="FU40" s="14"/>
      <c r="FV40" s="14"/>
      <c r="FW40" s="14"/>
      <c r="FX40" s="14"/>
      <c r="FY40" s="14"/>
      <c r="FZ40" s="14"/>
      <c r="GA40" s="14"/>
      <c r="GB40" s="14"/>
      <c r="GC40" s="14"/>
      <c r="GD40" s="14"/>
      <c r="GE40" s="14"/>
      <c r="GF40" s="14"/>
      <c r="GG40" s="14"/>
      <c r="GH40" s="14"/>
      <c r="GI40" s="14"/>
      <c r="GJ40" s="14"/>
      <c r="GK40" s="14"/>
      <c r="GL40" s="14"/>
      <c r="GM40" s="14"/>
      <c r="GN40" s="14"/>
      <c r="GO40" s="14"/>
      <c r="GP40" s="14"/>
      <c r="GQ40" s="14"/>
      <c r="GR40" s="14"/>
      <c r="GS40" s="14"/>
      <c r="GT40" s="14"/>
      <c r="GU40" s="14"/>
      <c r="GV40" s="14"/>
      <c r="GW40" s="14"/>
      <c r="GX40" s="14"/>
      <c r="GY40" s="14"/>
      <c r="GZ40" s="14"/>
      <c r="HA40" s="14"/>
      <c r="HB40" s="14"/>
      <c r="HC40" s="14"/>
      <c r="HD40" s="14"/>
      <c r="HE40" s="14"/>
      <c r="HF40" s="14"/>
      <c r="HG40" s="14"/>
      <c r="HH40" s="14"/>
      <c r="HI40" s="14"/>
      <c r="HJ40" s="14"/>
      <c r="HK40" s="14"/>
      <c r="HL40" s="14"/>
      <c r="HM40" s="14"/>
      <c r="HN40" s="14"/>
      <c r="HO40" s="14"/>
      <c r="HP40" s="14"/>
      <c r="HQ40" s="14"/>
      <c r="HR40" s="14"/>
      <c r="HS40" s="14"/>
      <c r="HT40" s="14"/>
      <c r="HU40" s="14"/>
      <c r="HV40" s="14"/>
      <c r="HW40" s="14"/>
      <c r="HX40" s="14"/>
      <c r="HY40" s="14"/>
      <c r="HZ40" s="14"/>
      <c r="IA40" s="14"/>
      <c r="IB40" s="14"/>
      <c r="IC40" s="14"/>
      <c r="ID40" s="14"/>
      <c r="IE40" s="14"/>
      <c r="IF40" s="14"/>
      <c r="IG40" s="15"/>
      <c r="IH40" s="15"/>
      <c r="II40" s="15"/>
      <c r="IJ40" s="15"/>
      <c r="IK40" s="15"/>
      <c r="IL40" s="15"/>
      <c r="IM40" s="15"/>
      <c r="IN40" s="15"/>
      <c r="IO40" s="15"/>
      <c r="IP40" s="15"/>
      <c r="IQ40" s="15"/>
    </row>
    <row r="41" spans="2:251" s="150" customFormat="1" ht="24.75" customHeight="1">
      <c r="B41" s="227" t="s">
        <v>647</v>
      </c>
      <c r="C41" s="950" t="s">
        <v>1160</v>
      </c>
      <c r="D41" s="950"/>
      <c r="E41" s="950"/>
      <c r="F41" s="950"/>
      <c r="G41" s="950"/>
      <c r="H41" s="951"/>
      <c r="I41" s="1"/>
      <c r="J41" s="1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  <c r="EM41" s="14"/>
      <c r="EN41" s="14"/>
      <c r="EO41" s="14"/>
      <c r="EP41" s="14"/>
      <c r="EQ41" s="14"/>
      <c r="ER41" s="14"/>
      <c r="ES41" s="14"/>
      <c r="ET41" s="14"/>
      <c r="EU41" s="14"/>
      <c r="EV41" s="14"/>
      <c r="EW41" s="14"/>
      <c r="EX41" s="14"/>
      <c r="EY41" s="14"/>
      <c r="EZ41" s="14"/>
      <c r="FA41" s="14"/>
      <c r="FB41" s="14"/>
      <c r="FC41" s="14"/>
      <c r="FD41" s="14"/>
      <c r="FE41" s="14"/>
      <c r="FF41" s="14"/>
      <c r="FG41" s="14"/>
      <c r="FH41" s="14"/>
      <c r="FI41" s="14"/>
      <c r="FJ41" s="14"/>
      <c r="FK41" s="14"/>
      <c r="FL41" s="14"/>
      <c r="FM41" s="14"/>
      <c r="FN41" s="14"/>
      <c r="FO41" s="14"/>
      <c r="FP41" s="14"/>
      <c r="FQ41" s="14"/>
      <c r="FR41" s="14"/>
      <c r="FS41" s="14"/>
      <c r="FT41" s="14"/>
      <c r="FU41" s="14"/>
      <c r="FV41" s="14"/>
      <c r="FW41" s="14"/>
      <c r="FX41" s="14"/>
      <c r="FY41" s="14"/>
      <c r="FZ41" s="14"/>
      <c r="GA41" s="14"/>
      <c r="GB41" s="14"/>
      <c r="GC41" s="14"/>
      <c r="GD41" s="14"/>
      <c r="GE41" s="14"/>
      <c r="GF41" s="14"/>
      <c r="GG41" s="14"/>
      <c r="GH41" s="14"/>
      <c r="GI41" s="14"/>
      <c r="GJ41" s="14"/>
      <c r="GK41" s="14"/>
      <c r="GL41" s="14"/>
      <c r="GM41" s="14"/>
      <c r="GN41" s="14"/>
      <c r="GO41" s="14"/>
      <c r="GP41" s="14"/>
      <c r="GQ41" s="14"/>
      <c r="GR41" s="14"/>
      <c r="GS41" s="14"/>
      <c r="GT41" s="14"/>
      <c r="GU41" s="14"/>
      <c r="GV41" s="14"/>
      <c r="GW41" s="14"/>
      <c r="GX41" s="14"/>
      <c r="GY41" s="14"/>
      <c r="GZ41" s="14"/>
      <c r="HA41" s="14"/>
      <c r="HB41" s="14"/>
      <c r="HC41" s="14"/>
      <c r="HD41" s="14"/>
      <c r="HE41" s="14"/>
      <c r="HF41" s="14"/>
      <c r="HG41" s="14"/>
      <c r="HH41" s="14"/>
      <c r="HI41" s="14"/>
      <c r="HJ41" s="14"/>
      <c r="HK41" s="14"/>
      <c r="HL41" s="14"/>
      <c r="HM41" s="14"/>
      <c r="HN41" s="14"/>
      <c r="HO41" s="14"/>
      <c r="HP41" s="14"/>
      <c r="HQ41" s="14"/>
      <c r="HR41" s="14"/>
      <c r="HS41" s="14"/>
      <c r="HT41" s="14"/>
      <c r="HU41" s="14"/>
      <c r="HV41" s="14"/>
      <c r="HW41" s="14"/>
      <c r="HX41" s="14"/>
      <c r="HY41" s="14"/>
      <c r="HZ41" s="14"/>
      <c r="IA41" s="14"/>
      <c r="IB41" s="14"/>
      <c r="IC41" s="14"/>
      <c r="ID41" s="14"/>
      <c r="IE41" s="14"/>
      <c r="IF41" s="14"/>
      <c r="IG41" s="15"/>
      <c r="IH41" s="15"/>
      <c r="II41" s="15"/>
      <c r="IJ41" s="15"/>
      <c r="IK41" s="15"/>
      <c r="IL41" s="15"/>
      <c r="IM41" s="15"/>
      <c r="IN41" s="15"/>
      <c r="IO41" s="15"/>
      <c r="IP41" s="15"/>
      <c r="IQ41" s="15"/>
    </row>
    <row r="42" spans="2:251" s="150" customFormat="1" ht="36.75" customHeight="1">
      <c r="B42" s="228" t="s">
        <v>39</v>
      </c>
      <c r="C42" s="938" t="s">
        <v>648</v>
      </c>
      <c r="D42" s="939"/>
      <c r="E42" s="939"/>
      <c r="F42" s="939"/>
      <c r="G42" s="939"/>
      <c r="H42" s="940"/>
      <c r="I42" s="2"/>
      <c r="J42" s="229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  <c r="GA42" s="14"/>
      <c r="GB42" s="14"/>
      <c r="GC42" s="14"/>
      <c r="GD42" s="14"/>
      <c r="GE42" s="14"/>
      <c r="GF42" s="14"/>
      <c r="GG42" s="14"/>
      <c r="GH42" s="14"/>
      <c r="GI42" s="14"/>
      <c r="GJ42" s="14"/>
      <c r="GK42" s="14"/>
      <c r="GL42" s="14"/>
      <c r="GM42" s="14"/>
      <c r="GN42" s="14"/>
      <c r="GO42" s="14"/>
      <c r="GP42" s="14"/>
      <c r="GQ42" s="14"/>
      <c r="GR42" s="14"/>
      <c r="GS42" s="14"/>
      <c r="GT42" s="14"/>
      <c r="GU42" s="14"/>
      <c r="GV42" s="14"/>
      <c r="GW42" s="14"/>
      <c r="GX42" s="14"/>
      <c r="GY42" s="14"/>
      <c r="GZ42" s="14"/>
      <c r="HA42" s="14"/>
      <c r="HB42" s="14"/>
      <c r="HC42" s="14"/>
      <c r="HD42" s="14"/>
      <c r="HE42" s="14"/>
      <c r="HF42" s="14"/>
      <c r="HG42" s="14"/>
      <c r="HH42" s="14"/>
      <c r="HI42" s="14"/>
      <c r="HJ42" s="14"/>
      <c r="HK42" s="14"/>
      <c r="HL42" s="14"/>
      <c r="HM42" s="14"/>
      <c r="HN42" s="14"/>
      <c r="HO42" s="14"/>
      <c r="HP42" s="14"/>
      <c r="HQ42" s="14"/>
      <c r="HR42" s="14"/>
      <c r="HS42" s="14"/>
      <c r="HT42" s="14"/>
      <c r="HU42" s="14"/>
      <c r="HV42" s="14"/>
      <c r="HW42" s="14"/>
      <c r="HX42" s="14"/>
      <c r="HY42" s="14"/>
      <c r="HZ42" s="14"/>
      <c r="IA42" s="14"/>
      <c r="IB42" s="14"/>
      <c r="IC42" s="14"/>
      <c r="ID42" s="14"/>
      <c r="IE42" s="14"/>
      <c r="IF42" s="14"/>
      <c r="IG42" s="15"/>
      <c r="IH42" s="15"/>
      <c r="II42" s="15"/>
      <c r="IJ42" s="15"/>
      <c r="IK42" s="15"/>
      <c r="IL42" s="15"/>
      <c r="IM42" s="15"/>
      <c r="IN42" s="15"/>
      <c r="IO42" s="15"/>
      <c r="IP42" s="15"/>
      <c r="IQ42" s="15"/>
    </row>
  </sheetData>
  <mergeCells count="39">
    <mergeCell ref="B14:G14"/>
    <mergeCell ref="B3:G3"/>
    <mergeCell ref="B4:G4"/>
    <mergeCell ref="O4:P5"/>
    <mergeCell ref="B5:G5"/>
    <mergeCell ref="B6:C6"/>
    <mergeCell ref="B7:C7"/>
    <mergeCell ref="O7:O9"/>
    <mergeCell ref="P7:P9"/>
    <mergeCell ref="B8:C8"/>
    <mergeCell ref="B9:E9"/>
    <mergeCell ref="B10:G10"/>
    <mergeCell ref="B11:D11"/>
    <mergeCell ref="B12:D12"/>
    <mergeCell ref="B13:F13"/>
    <mergeCell ref="B30:F30"/>
    <mergeCell ref="B15:C15"/>
    <mergeCell ref="B16:C16"/>
    <mergeCell ref="B17:C17"/>
    <mergeCell ref="B19:G19"/>
    <mergeCell ref="B20:G20"/>
    <mergeCell ref="B21:G21"/>
    <mergeCell ref="B22:G22"/>
    <mergeCell ref="B23:G23"/>
    <mergeCell ref="B24:E24"/>
    <mergeCell ref="B25:F25"/>
    <mergeCell ref="B29:H29"/>
    <mergeCell ref="C42:H42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G40"/>
    <mergeCell ref="C41:H41"/>
  </mergeCells>
  <conditionalFormatting sqref="J39">
    <cfRule type="expression" dxfId="8" priority="1">
      <formula>$H$39&lt;$H$38</formula>
    </cfRule>
    <cfRule type="expression" dxfId="7" priority="2">
      <formula>$H$39=$H$38</formula>
    </cfRule>
    <cfRule type="expression" dxfId="6" priority="3">
      <formula>$H$39&gt;$H$38</formula>
    </cfRule>
  </conditionalFormatting>
  <printOptions horizontalCentered="1" verticalCentered="1"/>
  <pageMargins left="0.59055118110236227" right="0.39370078740157483" top="0.39370078740157483" bottom="0.59055118110236227" header="0.51181102362204722" footer="0.51181102362204722"/>
  <pageSetup paperSize="9" scale="52" firstPageNumber="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EC09A-6669-4D04-AD4C-550CECC0D69D}">
  <sheetPr>
    <tabColor rgb="FF7030A0"/>
  </sheetPr>
  <dimension ref="B1:L25"/>
  <sheetViews>
    <sheetView showGridLines="0" zoomScale="80" zoomScaleNormal="80" workbookViewId="0">
      <selection activeCell="B2" sqref="B2:E25"/>
    </sheetView>
  </sheetViews>
  <sheetFormatPr defaultColWidth="9.140625" defaultRowHeight="18"/>
  <cols>
    <col min="1" max="1" width="4" style="386" customWidth="1"/>
    <col min="2" max="2" width="18.7109375" style="384" customWidth="1"/>
    <col min="3" max="3" width="84.7109375" style="384" customWidth="1"/>
    <col min="4" max="4" width="47" style="384" customWidth="1"/>
    <col min="5" max="5" width="17.7109375" style="385" customWidth="1"/>
    <col min="6" max="10" width="9.140625" style="386"/>
    <col min="11" max="11" width="18.140625" style="387" customWidth="1"/>
    <col min="12" max="12" width="9.140625" style="388"/>
    <col min="13" max="16384" width="9.140625" style="386"/>
  </cols>
  <sheetData>
    <row r="1" spans="2:12" ht="18.75" thickBot="1"/>
    <row r="2" spans="2:12" ht="25.5" customHeight="1">
      <c r="B2" s="968" t="s">
        <v>700</v>
      </c>
      <c r="C2" s="969"/>
      <c r="D2" s="970"/>
      <c r="E2" s="389"/>
      <c r="F2" s="390"/>
    </row>
    <row r="3" spans="2:12" ht="41.25" customHeight="1" thickBot="1">
      <c r="B3" s="971" t="s">
        <v>686</v>
      </c>
      <c r="C3" s="972"/>
      <c r="D3" s="973"/>
      <c r="E3" s="391"/>
      <c r="F3" s="392"/>
    </row>
    <row r="4" spans="2:12" ht="15" customHeight="1">
      <c r="B4" s="974" t="s">
        <v>56</v>
      </c>
      <c r="C4" s="976" t="s">
        <v>687</v>
      </c>
      <c r="D4" s="977" t="s">
        <v>701</v>
      </c>
      <c r="E4" s="963" t="s">
        <v>688</v>
      </c>
    </row>
    <row r="5" spans="2:12" ht="84.75" customHeight="1">
      <c r="B5" s="975"/>
      <c r="C5" s="976"/>
      <c r="D5" s="977"/>
      <c r="E5" s="964"/>
    </row>
    <row r="6" spans="2:12" ht="27.75" customHeight="1">
      <c r="B6" s="393">
        <v>1</v>
      </c>
      <c r="C6" s="394" t="s">
        <v>689</v>
      </c>
      <c r="D6" s="395">
        <v>1</v>
      </c>
      <c r="E6" s="396" t="s">
        <v>690</v>
      </c>
      <c r="K6" s="387">
        <v>100</v>
      </c>
      <c r="L6" s="388">
        <f>K6/100</f>
        <v>1</v>
      </c>
    </row>
    <row r="7" spans="2:12" ht="27.75" customHeight="1">
      <c r="B7" s="393">
        <v>2</v>
      </c>
      <c r="C7" s="394" t="s">
        <v>691</v>
      </c>
      <c r="D7" s="397">
        <v>0.98499999999999999</v>
      </c>
      <c r="E7" s="398" t="s">
        <v>692</v>
      </c>
      <c r="K7" s="387">
        <f>K6-1.5</f>
        <v>98.5</v>
      </c>
      <c r="L7" s="388">
        <f t="shared" ref="L7:L9" si="0">K7/100</f>
        <v>0.98499999999999999</v>
      </c>
    </row>
    <row r="8" spans="2:12" ht="27.75" customHeight="1">
      <c r="B8" s="393">
        <v>3</v>
      </c>
      <c r="C8" s="394" t="s">
        <v>693</v>
      </c>
      <c r="D8" s="399">
        <v>0.97</v>
      </c>
      <c r="E8" s="400" t="s">
        <v>694</v>
      </c>
      <c r="K8" s="387">
        <f t="shared" ref="K8:K9" si="1">K7-1.5</f>
        <v>97</v>
      </c>
      <c r="L8" s="388">
        <f t="shared" si="0"/>
        <v>0.97</v>
      </c>
    </row>
    <row r="9" spans="2:12" ht="27.75" customHeight="1" thickBot="1">
      <c r="B9" s="401">
        <v>4</v>
      </c>
      <c r="C9" s="402" t="s">
        <v>695</v>
      </c>
      <c r="D9" s="403">
        <v>0.95499999999999996</v>
      </c>
      <c r="E9" s="404" t="s">
        <v>696</v>
      </c>
      <c r="K9" s="387">
        <f t="shared" si="1"/>
        <v>95.5</v>
      </c>
      <c r="L9" s="388">
        <f t="shared" si="0"/>
        <v>0.95499999999999996</v>
      </c>
    </row>
    <row r="10" spans="2:12" ht="37.5" customHeight="1" thickBot="1">
      <c r="B10" s="965" t="s">
        <v>697</v>
      </c>
      <c r="C10" s="966"/>
      <c r="D10" s="967"/>
      <c r="E10" s="405"/>
    </row>
    <row r="11" spans="2:12" ht="29.25" customHeight="1">
      <c r="B11" s="406" t="s">
        <v>56</v>
      </c>
      <c r="C11" s="407" t="s">
        <v>698</v>
      </c>
      <c r="D11" s="408" t="s">
        <v>699</v>
      </c>
      <c r="E11" s="405"/>
      <c r="K11" s="387">
        <f>K6-K9</f>
        <v>4.5</v>
      </c>
    </row>
    <row r="12" spans="2:12" ht="62.25" customHeight="1">
      <c r="B12" s="409">
        <v>1</v>
      </c>
      <c r="C12" s="410" t="s">
        <v>1186</v>
      </c>
      <c r="D12" s="411">
        <v>15</v>
      </c>
      <c r="E12" s="405"/>
    </row>
    <row r="13" spans="2:12" ht="42.75" customHeight="1">
      <c r="B13" s="409">
        <f>B12+1</f>
        <v>2</v>
      </c>
      <c r="C13" s="410" t="s">
        <v>1187</v>
      </c>
      <c r="D13" s="411">
        <v>15</v>
      </c>
      <c r="E13" s="405"/>
    </row>
    <row r="14" spans="2:12" ht="41.25" customHeight="1">
      <c r="B14" s="409">
        <f>B13+1</f>
        <v>3</v>
      </c>
      <c r="C14" s="410" t="s">
        <v>1188</v>
      </c>
      <c r="D14" s="411">
        <v>10</v>
      </c>
      <c r="E14" s="405"/>
    </row>
    <row r="15" spans="2:12" ht="40.5" customHeight="1">
      <c r="B15" s="409">
        <f t="shared" ref="B15:B25" si="2">B14+1</f>
        <v>4</v>
      </c>
      <c r="C15" s="410" t="s">
        <v>1189</v>
      </c>
      <c r="D15" s="411">
        <v>5</v>
      </c>
      <c r="E15" s="405"/>
    </row>
    <row r="16" spans="2:12" ht="54" customHeight="1">
      <c r="B16" s="409">
        <f t="shared" si="2"/>
        <v>5</v>
      </c>
      <c r="C16" s="410" t="s">
        <v>1190</v>
      </c>
      <c r="D16" s="411">
        <v>5</v>
      </c>
      <c r="E16" s="405"/>
    </row>
    <row r="17" spans="2:5" ht="48.75" customHeight="1">
      <c r="B17" s="409">
        <f t="shared" si="2"/>
        <v>6</v>
      </c>
      <c r="C17" s="410" t="s">
        <v>1191</v>
      </c>
      <c r="D17" s="411">
        <v>10</v>
      </c>
      <c r="E17" s="405"/>
    </row>
    <row r="18" spans="2:5" ht="54" customHeight="1">
      <c r="B18" s="409">
        <f t="shared" si="2"/>
        <v>7</v>
      </c>
      <c r="C18" s="410" t="s">
        <v>1192</v>
      </c>
      <c r="D18" s="411">
        <v>10</v>
      </c>
      <c r="E18" s="405"/>
    </row>
    <row r="19" spans="2:5" ht="54.75" customHeight="1">
      <c r="B19" s="409">
        <f t="shared" si="2"/>
        <v>8</v>
      </c>
      <c r="C19" s="410" t="s">
        <v>1193</v>
      </c>
      <c r="D19" s="411">
        <v>15</v>
      </c>
      <c r="E19" s="405"/>
    </row>
    <row r="20" spans="2:5" ht="54.75" customHeight="1">
      <c r="B20" s="409">
        <f t="shared" si="2"/>
        <v>9</v>
      </c>
      <c r="C20" s="410" t="s">
        <v>1194</v>
      </c>
      <c r="D20" s="411">
        <v>10</v>
      </c>
      <c r="E20" s="405"/>
    </row>
    <row r="21" spans="2:5" ht="65.25" customHeight="1">
      <c r="B21" s="409">
        <f t="shared" si="2"/>
        <v>10</v>
      </c>
      <c r="C21" s="410" t="s">
        <v>1195</v>
      </c>
      <c r="D21" s="411">
        <v>5</v>
      </c>
      <c r="E21" s="405"/>
    </row>
    <row r="22" spans="2:5" ht="57.75" customHeight="1">
      <c r="B22" s="409">
        <f t="shared" si="2"/>
        <v>11</v>
      </c>
      <c r="C22" s="410" t="s">
        <v>1196</v>
      </c>
      <c r="D22" s="411">
        <v>5</v>
      </c>
      <c r="E22" s="405"/>
    </row>
    <row r="23" spans="2:5" ht="42" customHeight="1">
      <c r="B23" s="409">
        <f t="shared" si="2"/>
        <v>12</v>
      </c>
      <c r="C23" s="410" t="s">
        <v>1197</v>
      </c>
      <c r="D23" s="411">
        <v>5</v>
      </c>
      <c r="E23" s="405"/>
    </row>
    <row r="24" spans="2:5" ht="46.5" customHeight="1">
      <c r="B24" s="409">
        <f t="shared" si="2"/>
        <v>13</v>
      </c>
      <c r="C24" s="410" t="s">
        <v>1198</v>
      </c>
      <c r="D24" s="411">
        <v>5</v>
      </c>
      <c r="E24" s="405"/>
    </row>
    <row r="25" spans="2:5" ht="46.5" customHeight="1" thickBot="1">
      <c r="B25" s="412">
        <f t="shared" si="2"/>
        <v>14</v>
      </c>
      <c r="C25" s="413" t="s">
        <v>1199</v>
      </c>
      <c r="D25" s="414">
        <v>10</v>
      </c>
      <c r="E25" s="405"/>
    </row>
  </sheetData>
  <mergeCells count="7">
    <mergeCell ref="E4:E5"/>
    <mergeCell ref="B10:D10"/>
    <mergeCell ref="B2:D2"/>
    <mergeCell ref="B3:D3"/>
    <mergeCell ref="B4:B5"/>
    <mergeCell ref="C4:C5"/>
    <mergeCell ref="D4:D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45DC9-85E5-4B18-885F-0F81FC770E18}">
  <sheetPr>
    <tabColor theme="1"/>
  </sheetPr>
  <dimension ref="B2:AD24"/>
  <sheetViews>
    <sheetView showGridLines="0" zoomScale="80" zoomScaleNormal="80" workbookViewId="0">
      <selection activeCell="E16" sqref="E16"/>
    </sheetView>
  </sheetViews>
  <sheetFormatPr defaultColWidth="9.140625" defaultRowHeight="18"/>
  <cols>
    <col min="1" max="2" width="9.140625" style="231"/>
    <col min="3" max="3" width="4.28515625" style="231" customWidth="1"/>
    <col min="4" max="5" width="28.5703125" style="231" customWidth="1"/>
    <col min="6" max="6" width="9.140625" style="232"/>
    <col min="7" max="7" width="10.140625" style="233" bestFit="1" customWidth="1"/>
    <col min="8" max="8" width="22" style="234" customWidth="1"/>
    <col min="9" max="9" width="22.140625" style="232" customWidth="1"/>
    <col min="10" max="10" width="23.85546875" style="234" bestFit="1" customWidth="1"/>
    <col min="11" max="11" width="23.28515625" style="234" bestFit="1" customWidth="1"/>
    <col min="12" max="12" width="18" style="232" bestFit="1" customWidth="1"/>
    <col min="13" max="13" width="21" style="232" bestFit="1" customWidth="1"/>
    <col min="14" max="14" width="21.28515625" style="232" customWidth="1"/>
    <col min="15" max="15" width="13.5703125" style="235" customWidth="1"/>
    <col min="16" max="16" width="18.28515625" style="232" customWidth="1"/>
    <col min="17" max="17" width="9.28515625" style="232" customWidth="1"/>
    <col min="18" max="18" width="13.42578125" style="232" customWidth="1"/>
    <col min="19" max="19" width="24.5703125" style="234" customWidth="1"/>
    <col min="20" max="20" width="26.5703125" style="232" customWidth="1"/>
    <col min="21" max="22" width="23.7109375" style="234" customWidth="1"/>
    <col min="23" max="24" width="21.85546875" style="234" customWidth="1"/>
    <col min="25" max="25" width="25.7109375" style="234" customWidth="1"/>
    <col min="26" max="26" width="15.42578125" style="232" customWidth="1"/>
    <col min="27" max="30" width="9.140625" style="232"/>
    <col min="31" max="16384" width="9.140625" style="231"/>
  </cols>
  <sheetData>
    <row r="2" spans="2:26" ht="18.75" thickBot="1">
      <c r="B2" s="230"/>
      <c r="C2" s="230"/>
      <c r="D2" s="230"/>
    </row>
    <row r="3" spans="2:26" ht="18" customHeight="1">
      <c r="B3" s="986" t="s">
        <v>0</v>
      </c>
      <c r="C3" s="986"/>
      <c r="D3" s="986"/>
      <c r="E3" s="236"/>
      <c r="F3" s="987" t="s">
        <v>1</v>
      </c>
      <c r="G3" s="988"/>
      <c r="H3" s="989"/>
      <c r="I3" s="237" t="s">
        <v>2</v>
      </c>
      <c r="Q3" s="990" t="s">
        <v>1</v>
      </c>
      <c r="R3" s="991"/>
      <c r="S3" s="991"/>
      <c r="T3" s="238" t="s">
        <v>3</v>
      </c>
    </row>
    <row r="4" spans="2:26" s="232" customFormat="1">
      <c r="B4" s="986"/>
      <c r="C4" s="986"/>
      <c r="D4" s="986"/>
      <c r="E4" s="236"/>
      <c r="F4" s="992" t="s">
        <v>4</v>
      </c>
      <c r="G4" s="994" t="s">
        <v>5</v>
      </c>
      <c r="H4" s="239" t="s">
        <v>6</v>
      </c>
      <c r="I4" s="240" t="s">
        <v>7</v>
      </c>
      <c r="J4" s="241" t="s">
        <v>8</v>
      </c>
      <c r="K4" s="242" t="s">
        <v>9</v>
      </c>
      <c r="L4" s="243" t="s">
        <v>10</v>
      </c>
      <c r="M4" s="243" t="s">
        <v>11</v>
      </c>
      <c r="N4" s="244" t="s">
        <v>12</v>
      </c>
      <c r="O4" s="245" t="s">
        <v>13</v>
      </c>
      <c r="Q4" s="996" t="s">
        <v>4</v>
      </c>
      <c r="R4" s="997" t="s">
        <v>5</v>
      </c>
      <c r="S4" s="243" t="s">
        <v>6</v>
      </c>
      <c r="T4" s="240" t="s">
        <v>7</v>
      </c>
      <c r="U4" s="241" t="s">
        <v>8</v>
      </c>
      <c r="V4" s="242" t="s">
        <v>9</v>
      </c>
      <c r="W4" s="243" t="s">
        <v>10</v>
      </c>
      <c r="X4" s="243" t="s">
        <v>11</v>
      </c>
      <c r="Y4" s="244" t="s">
        <v>12</v>
      </c>
      <c r="Z4" s="245" t="s">
        <v>13</v>
      </c>
    </row>
    <row r="5" spans="2:26" s="232" customFormat="1" ht="83.25" customHeight="1">
      <c r="B5" s="998" t="s">
        <v>14</v>
      </c>
      <c r="C5" s="998"/>
      <c r="D5" s="246" t="s">
        <v>15</v>
      </c>
      <c r="E5" s="247"/>
      <c r="F5" s="993"/>
      <c r="G5" s="995"/>
      <c r="H5" s="248" t="s">
        <v>16</v>
      </c>
      <c r="I5" s="249" t="s">
        <v>17</v>
      </c>
      <c r="J5" s="250" t="s">
        <v>18</v>
      </c>
      <c r="K5" s="251" t="s">
        <v>1161</v>
      </c>
      <c r="L5" s="251" t="s">
        <v>19</v>
      </c>
      <c r="M5" s="252" t="s">
        <v>20</v>
      </c>
      <c r="N5" s="252" t="s">
        <v>21</v>
      </c>
      <c r="O5" s="253" t="s">
        <v>22</v>
      </c>
      <c r="Q5" s="996"/>
      <c r="R5" s="997"/>
      <c r="S5" s="254" t="s">
        <v>16</v>
      </c>
      <c r="T5" s="249" t="s">
        <v>23</v>
      </c>
      <c r="U5" s="250" t="s">
        <v>18</v>
      </c>
      <c r="V5" s="251" t="s">
        <v>1161</v>
      </c>
      <c r="W5" s="251" t="s">
        <v>19</v>
      </c>
      <c r="X5" s="252" t="s">
        <v>20</v>
      </c>
      <c r="Y5" s="252" t="s">
        <v>24</v>
      </c>
      <c r="Z5" s="253" t="s">
        <v>25</v>
      </c>
    </row>
    <row r="6" spans="2:26" s="232" customFormat="1" ht="33" customHeight="1">
      <c r="B6" s="999" t="s">
        <v>26</v>
      </c>
      <c r="C6" s="999"/>
      <c r="D6" s="243" t="s">
        <v>27</v>
      </c>
      <c r="F6" s="255">
        <v>1</v>
      </c>
      <c r="G6" s="256"/>
      <c r="H6" s="242">
        <v>0</v>
      </c>
      <c r="I6" s="257">
        <v>0</v>
      </c>
      <c r="J6" s="258">
        <v>0</v>
      </c>
      <c r="K6" s="259">
        <v>0</v>
      </c>
      <c r="L6" s="242">
        <f t="shared" ref="L6:L17" si="0">I6-J6-K6</f>
        <v>0</v>
      </c>
      <c r="M6" s="260">
        <v>0</v>
      </c>
      <c r="N6" s="242">
        <f>I6-J6-M6</f>
        <v>0</v>
      </c>
      <c r="O6" s="261" t="str">
        <f>IFERROR(N6/H6, " ")</f>
        <v xml:space="preserve"> </v>
      </c>
      <c r="P6" s="235"/>
      <c r="Q6" s="255">
        <v>1</v>
      </c>
      <c r="R6" s="256"/>
      <c r="S6" s="242">
        <f t="shared" ref="S6:S17" si="1">H6</f>
        <v>0</v>
      </c>
      <c r="T6" s="257">
        <v>0</v>
      </c>
      <c r="U6" s="258">
        <v>0</v>
      </c>
      <c r="V6" s="259">
        <v>0</v>
      </c>
      <c r="W6" s="242">
        <f t="shared" ref="W6:W17" si="2">T6-U6-V6</f>
        <v>0</v>
      </c>
      <c r="X6" s="260">
        <v>0</v>
      </c>
      <c r="Y6" s="242">
        <f>T6-U6-X6</f>
        <v>0</v>
      </c>
      <c r="Z6" s="261" t="str">
        <f>IFERROR(Y6/S6, " ")</f>
        <v xml:space="preserve"> </v>
      </c>
    </row>
    <row r="7" spans="2:26" s="232" customFormat="1" ht="33" customHeight="1">
      <c r="B7" s="999"/>
      <c r="C7" s="999"/>
      <c r="D7" s="243" t="s">
        <v>28</v>
      </c>
      <c r="F7" s="255">
        <f t="shared" ref="F7:F17" si="3">1+F6</f>
        <v>2</v>
      </c>
      <c r="G7" s="256"/>
      <c r="H7" s="242">
        <v>0</v>
      </c>
      <c r="I7" s="257">
        <v>0</v>
      </c>
      <c r="J7" s="258">
        <v>0</v>
      </c>
      <c r="K7" s="259">
        <v>0</v>
      </c>
      <c r="L7" s="242">
        <f t="shared" si="0"/>
        <v>0</v>
      </c>
      <c r="M7" s="260">
        <v>0</v>
      </c>
      <c r="N7" s="242">
        <f>I7-J7-M7</f>
        <v>0</v>
      </c>
      <c r="O7" s="261" t="str">
        <f t="shared" ref="O7:O17" si="4">IFERROR(N7/H7, " ")</f>
        <v xml:space="preserve"> </v>
      </c>
      <c r="Q7" s="255">
        <f t="shared" ref="Q7:Q17" si="5">Q6+1</f>
        <v>2</v>
      </c>
      <c r="R7" s="256"/>
      <c r="S7" s="242">
        <f t="shared" si="1"/>
        <v>0</v>
      </c>
      <c r="T7" s="257">
        <v>0</v>
      </c>
      <c r="U7" s="258">
        <v>0</v>
      </c>
      <c r="V7" s="259">
        <v>0</v>
      </c>
      <c r="W7" s="242">
        <f t="shared" si="2"/>
        <v>0</v>
      </c>
      <c r="X7" s="260">
        <v>0</v>
      </c>
      <c r="Y7" s="242">
        <f>T7-U7-X7</f>
        <v>0</v>
      </c>
      <c r="Z7" s="261" t="str">
        <f t="shared" ref="Z7:Z17" si="6">IFERROR(Y7/S7, " ")</f>
        <v xml:space="preserve"> </v>
      </c>
    </row>
    <row r="8" spans="2:26" s="232" customFormat="1" ht="33" customHeight="1">
      <c r="B8" s="999"/>
      <c r="C8" s="999"/>
      <c r="D8" s="243" t="s">
        <v>29</v>
      </c>
      <c r="F8" s="255">
        <f t="shared" si="3"/>
        <v>3</v>
      </c>
      <c r="G8" s="256"/>
      <c r="H8" s="242">
        <v>0</v>
      </c>
      <c r="I8" s="257">
        <v>0</v>
      </c>
      <c r="J8" s="258">
        <v>0</v>
      </c>
      <c r="K8" s="259">
        <v>0</v>
      </c>
      <c r="L8" s="242">
        <f t="shared" si="0"/>
        <v>0</v>
      </c>
      <c r="M8" s="260">
        <v>0</v>
      </c>
      <c r="N8" s="242">
        <f t="shared" ref="N8:N17" si="7">I8-J8-M8</f>
        <v>0</v>
      </c>
      <c r="O8" s="261" t="str">
        <f t="shared" si="4"/>
        <v xml:space="preserve"> </v>
      </c>
      <c r="Q8" s="255">
        <f t="shared" si="5"/>
        <v>3</v>
      </c>
      <c r="R8" s="256"/>
      <c r="S8" s="242">
        <f t="shared" si="1"/>
        <v>0</v>
      </c>
      <c r="T8" s="257">
        <v>0</v>
      </c>
      <c r="U8" s="258">
        <v>0</v>
      </c>
      <c r="V8" s="259">
        <v>0</v>
      </c>
      <c r="W8" s="242">
        <f t="shared" si="2"/>
        <v>0</v>
      </c>
      <c r="X8" s="260">
        <v>0</v>
      </c>
      <c r="Y8" s="242">
        <f t="shared" ref="Y8:Y17" si="8">T8-U8-X8</f>
        <v>0</v>
      </c>
      <c r="Z8" s="261" t="str">
        <f t="shared" si="6"/>
        <v xml:space="preserve"> </v>
      </c>
    </row>
    <row r="9" spans="2:26" s="232" customFormat="1" ht="33" customHeight="1">
      <c r="B9" s="999"/>
      <c r="C9" s="999"/>
      <c r="D9" s="243" t="s">
        <v>30</v>
      </c>
      <c r="F9" s="255">
        <f t="shared" si="3"/>
        <v>4</v>
      </c>
      <c r="G9" s="256"/>
      <c r="H9" s="242">
        <v>0</v>
      </c>
      <c r="I9" s="257">
        <v>0</v>
      </c>
      <c r="J9" s="258">
        <v>0</v>
      </c>
      <c r="K9" s="259">
        <v>0</v>
      </c>
      <c r="L9" s="242">
        <f t="shared" si="0"/>
        <v>0</v>
      </c>
      <c r="M9" s="260">
        <v>0</v>
      </c>
      <c r="N9" s="242">
        <f t="shared" si="7"/>
        <v>0</v>
      </c>
      <c r="O9" s="261" t="str">
        <f t="shared" si="4"/>
        <v xml:space="preserve"> </v>
      </c>
      <c r="Q9" s="255">
        <f t="shared" si="5"/>
        <v>4</v>
      </c>
      <c r="R9" s="256"/>
      <c r="S9" s="242">
        <f t="shared" si="1"/>
        <v>0</v>
      </c>
      <c r="T9" s="257">
        <v>0</v>
      </c>
      <c r="U9" s="258">
        <v>0</v>
      </c>
      <c r="V9" s="259">
        <v>0</v>
      </c>
      <c r="W9" s="242">
        <f t="shared" si="2"/>
        <v>0</v>
      </c>
      <c r="X9" s="260">
        <v>0</v>
      </c>
      <c r="Y9" s="242">
        <f t="shared" si="8"/>
        <v>0</v>
      </c>
      <c r="Z9" s="261" t="str">
        <f t="shared" si="6"/>
        <v xml:space="preserve"> </v>
      </c>
    </row>
    <row r="10" spans="2:26" s="232" customFormat="1" ht="33" customHeight="1">
      <c r="B10" s="1000" t="s">
        <v>31</v>
      </c>
      <c r="C10" s="1000"/>
      <c r="D10" s="243" t="s">
        <v>32</v>
      </c>
      <c r="E10" s="234"/>
      <c r="F10" s="255">
        <f t="shared" si="3"/>
        <v>5</v>
      </c>
      <c r="G10" s="256"/>
      <c r="H10" s="242">
        <v>0</v>
      </c>
      <c r="I10" s="257">
        <v>0</v>
      </c>
      <c r="J10" s="258">
        <v>0</v>
      </c>
      <c r="K10" s="259">
        <v>0</v>
      </c>
      <c r="L10" s="242">
        <f t="shared" si="0"/>
        <v>0</v>
      </c>
      <c r="M10" s="260">
        <v>0</v>
      </c>
      <c r="N10" s="242">
        <f t="shared" si="7"/>
        <v>0</v>
      </c>
      <c r="O10" s="261" t="str">
        <f t="shared" si="4"/>
        <v xml:space="preserve"> </v>
      </c>
      <c r="Q10" s="255">
        <f t="shared" si="5"/>
        <v>5</v>
      </c>
      <c r="R10" s="256"/>
      <c r="S10" s="242">
        <f t="shared" si="1"/>
        <v>0</v>
      </c>
      <c r="T10" s="257">
        <v>0</v>
      </c>
      <c r="U10" s="258">
        <v>0</v>
      </c>
      <c r="V10" s="259">
        <v>0</v>
      </c>
      <c r="W10" s="242">
        <f t="shared" si="2"/>
        <v>0</v>
      </c>
      <c r="X10" s="260">
        <v>0</v>
      </c>
      <c r="Y10" s="242">
        <f t="shared" si="8"/>
        <v>0</v>
      </c>
      <c r="Z10" s="261" t="str">
        <f t="shared" si="6"/>
        <v xml:space="preserve"> </v>
      </c>
    </row>
    <row r="11" spans="2:26" s="232" customFormat="1" ht="33" customHeight="1">
      <c r="B11" s="1000"/>
      <c r="C11" s="1000"/>
      <c r="D11" s="243" t="s">
        <v>33</v>
      </c>
      <c r="E11" s="234"/>
      <c r="F11" s="255">
        <f t="shared" si="3"/>
        <v>6</v>
      </c>
      <c r="G11" s="256"/>
      <c r="H11" s="242">
        <v>0</v>
      </c>
      <c r="I11" s="257">
        <v>0</v>
      </c>
      <c r="J11" s="258">
        <v>0</v>
      </c>
      <c r="K11" s="259">
        <v>0</v>
      </c>
      <c r="L11" s="242">
        <f t="shared" si="0"/>
        <v>0</v>
      </c>
      <c r="M11" s="260">
        <v>0</v>
      </c>
      <c r="N11" s="242">
        <f t="shared" si="7"/>
        <v>0</v>
      </c>
      <c r="O11" s="261" t="str">
        <f t="shared" si="4"/>
        <v xml:space="preserve"> </v>
      </c>
      <c r="Q11" s="255">
        <f t="shared" si="5"/>
        <v>6</v>
      </c>
      <c r="R11" s="256"/>
      <c r="S11" s="242">
        <f t="shared" si="1"/>
        <v>0</v>
      </c>
      <c r="T11" s="257">
        <v>0</v>
      </c>
      <c r="U11" s="258">
        <v>0</v>
      </c>
      <c r="V11" s="259">
        <v>0</v>
      </c>
      <c r="W11" s="242">
        <f t="shared" si="2"/>
        <v>0</v>
      </c>
      <c r="X11" s="260">
        <v>0</v>
      </c>
      <c r="Y11" s="242">
        <f t="shared" si="8"/>
        <v>0</v>
      </c>
      <c r="Z11" s="261" t="str">
        <f t="shared" si="6"/>
        <v xml:space="preserve"> </v>
      </c>
    </row>
    <row r="12" spans="2:26" s="232" customFormat="1" ht="33" customHeight="1">
      <c r="B12" s="1000"/>
      <c r="C12" s="1000"/>
      <c r="D12" s="243" t="s">
        <v>34</v>
      </c>
      <c r="F12" s="255">
        <f t="shared" si="3"/>
        <v>7</v>
      </c>
      <c r="G12" s="256"/>
      <c r="H12" s="242">
        <v>0</v>
      </c>
      <c r="I12" s="257">
        <v>0</v>
      </c>
      <c r="J12" s="258">
        <v>0</v>
      </c>
      <c r="K12" s="259">
        <v>0</v>
      </c>
      <c r="L12" s="242">
        <f t="shared" si="0"/>
        <v>0</v>
      </c>
      <c r="M12" s="260">
        <v>0</v>
      </c>
      <c r="N12" s="242">
        <f t="shared" si="7"/>
        <v>0</v>
      </c>
      <c r="O12" s="261" t="str">
        <f t="shared" si="4"/>
        <v xml:space="preserve"> </v>
      </c>
      <c r="Q12" s="255">
        <f t="shared" si="5"/>
        <v>7</v>
      </c>
      <c r="R12" s="256"/>
      <c r="S12" s="242">
        <f t="shared" si="1"/>
        <v>0</v>
      </c>
      <c r="T12" s="257">
        <v>0</v>
      </c>
      <c r="U12" s="258">
        <v>0</v>
      </c>
      <c r="V12" s="259">
        <v>0</v>
      </c>
      <c r="W12" s="242">
        <f t="shared" si="2"/>
        <v>0</v>
      </c>
      <c r="X12" s="260">
        <v>0</v>
      </c>
      <c r="Y12" s="242">
        <f t="shared" si="8"/>
        <v>0</v>
      </c>
      <c r="Z12" s="261" t="str">
        <f t="shared" si="6"/>
        <v xml:space="preserve"> </v>
      </c>
    </row>
    <row r="13" spans="2:26" s="232" customFormat="1" ht="33" customHeight="1">
      <c r="B13" s="1000"/>
      <c r="C13" s="1000"/>
      <c r="D13" s="243" t="s">
        <v>35</v>
      </c>
      <c r="F13" s="255">
        <f t="shared" si="3"/>
        <v>8</v>
      </c>
      <c r="G13" s="256"/>
      <c r="H13" s="242">
        <v>0</v>
      </c>
      <c r="I13" s="257">
        <v>0</v>
      </c>
      <c r="J13" s="258">
        <v>0</v>
      </c>
      <c r="K13" s="259">
        <v>0</v>
      </c>
      <c r="L13" s="242">
        <f t="shared" si="0"/>
        <v>0</v>
      </c>
      <c r="M13" s="260">
        <v>0</v>
      </c>
      <c r="N13" s="242">
        <f t="shared" si="7"/>
        <v>0</v>
      </c>
      <c r="O13" s="261" t="str">
        <f t="shared" si="4"/>
        <v xml:space="preserve"> </v>
      </c>
      <c r="Q13" s="255">
        <f t="shared" si="5"/>
        <v>8</v>
      </c>
      <c r="R13" s="256"/>
      <c r="S13" s="242">
        <f t="shared" si="1"/>
        <v>0</v>
      </c>
      <c r="T13" s="257">
        <v>0</v>
      </c>
      <c r="U13" s="258">
        <v>0</v>
      </c>
      <c r="V13" s="259">
        <v>0</v>
      </c>
      <c r="W13" s="242">
        <f t="shared" si="2"/>
        <v>0</v>
      </c>
      <c r="X13" s="260">
        <v>0</v>
      </c>
      <c r="Y13" s="242">
        <f t="shared" si="8"/>
        <v>0</v>
      </c>
      <c r="Z13" s="261" t="str">
        <f t="shared" si="6"/>
        <v xml:space="preserve"> </v>
      </c>
    </row>
    <row r="14" spans="2:26" s="232" customFormat="1" ht="33" customHeight="1">
      <c r="D14" s="262"/>
      <c r="E14" s="234"/>
      <c r="F14" s="255">
        <f t="shared" si="3"/>
        <v>9</v>
      </c>
      <c r="G14" s="256"/>
      <c r="H14" s="242">
        <v>0</v>
      </c>
      <c r="I14" s="257">
        <v>0</v>
      </c>
      <c r="J14" s="258">
        <v>0</v>
      </c>
      <c r="K14" s="259">
        <v>0</v>
      </c>
      <c r="L14" s="242">
        <f t="shared" si="0"/>
        <v>0</v>
      </c>
      <c r="M14" s="260">
        <v>0</v>
      </c>
      <c r="N14" s="242">
        <f t="shared" si="7"/>
        <v>0</v>
      </c>
      <c r="O14" s="261" t="str">
        <f t="shared" si="4"/>
        <v xml:space="preserve"> </v>
      </c>
      <c r="Q14" s="255">
        <f t="shared" si="5"/>
        <v>9</v>
      </c>
      <c r="R14" s="256"/>
      <c r="S14" s="242">
        <f t="shared" si="1"/>
        <v>0</v>
      </c>
      <c r="T14" s="257">
        <v>0</v>
      </c>
      <c r="U14" s="258">
        <v>0</v>
      </c>
      <c r="V14" s="259">
        <v>0</v>
      </c>
      <c r="W14" s="242">
        <f t="shared" si="2"/>
        <v>0</v>
      </c>
      <c r="X14" s="260">
        <v>0</v>
      </c>
      <c r="Y14" s="242">
        <f t="shared" si="8"/>
        <v>0</v>
      </c>
      <c r="Z14" s="261" t="str">
        <f t="shared" si="6"/>
        <v xml:space="preserve"> </v>
      </c>
    </row>
    <row r="15" spans="2:26" s="232" customFormat="1" ht="33" customHeight="1">
      <c r="D15" s="234"/>
      <c r="E15" s="234"/>
      <c r="F15" s="255">
        <f t="shared" si="3"/>
        <v>10</v>
      </c>
      <c r="G15" s="256"/>
      <c r="H15" s="242">
        <v>0</v>
      </c>
      <c r="I15" s="257">
        <v>0</v>
      </c>
      <c r="J15" s="258">
        <v>0</v>
      </c>
      <c r="K15" s="259">
        <v>0</v>
      </c>
      <c r="L15" s="242">
        <f t="shared" si="0"/>
        <v>0</v>
      </c>
      <c r="M15" s="260">
        <v>0</v>
      </c>
      <c r="N15" s="242">
        <f t="shared" si="7"/>
        <v>0</v>
      </c>
      <c r="O15" s="261" t="str">
        <f t="shared" si="4"/>
        <v xml:space="preserve"> </v>
      </c>
      <c r="Q15" s="255">
        <f t="shared" si="5"/>
        <v>10</v>
      </c>
      <c r="R15" s="256"/>
      <c r="S15" s="242">
        <f t="shared" si="1"/>
        <v>0</v>
      </c>
      <c r="T15" s="257">
        <v>0</v>
      </c>
      <c r="U15" s="258">
        <v>0</v>
      </c>
      <c r="V15" s="259">
        <v>0</v>
      </c>
      <c r="W15" s="242">
        <f t="shared" si="2"/>
        <v>0</v>
      </c>
      <c r="X15" s="260">
        <v>0</v>
      </c>
      <c r="Y15" s="242">
        <f t="shared" si="8"/>
        <v>0</v>
      </c>
      <c r="Z15" s="261" t="str">
        <f t="shared" si="6"/>
        <v xml:space="preserve"> </v>
      </c>
    </row>
    <row r="16" spans="2:26" s="232" customFormat="1" ht="33" customHeight="1">
      <c r="D16" s="234"/>
      <c r="E16" s="234"/>
      <c r="F16" s="255">
        <f t="shared" si="3"/>
        <v>11</v>
      </c>
      <c r="G16" s="256"/>
      <c r="H16" s="242">
        <v>0</v>
      </c>
      <c r="I16" s="257">
        <v>0</v>
      </c>
      <c r="J16" s="258">
        <v>0</v>
      </c>
      <c r="K16" s="259">
        <v>0</v>
      </c>
      <c r="L16" s="242">
        <f t="shared" si="0"/>
        <v>0</v>
      </c>
      <c r="M16" s="260">
        <v>0</v>
      </c>
      <c r="N16" s="242">
        <f t="shared" si="7"/>
        <v>0</v>
      </c>
      <c r="O16" s="261" t="str">
        <f t="shared" si="4"/>
        <v xml:space="preserve"> </v>
      </c>
      <c r="Q16" s="255">
        <f t="shared" si="5"/>
        <v>11</v>
      </c>
      <c r="R16" s="256"/>
      <c r="S16" s="242">
        <f t="shared" si="1"/>
        <v>0</v>
      </c>
      <c r="T16" s="257">
        <v>0</v>
      </c>
      <c r="U16" s="258">
        <v>0</v>
      </c>
      <c r="V16" s="259">
        <v>0</v>
      </c>
      <c r="W16" s="242">
        <f t="shared" si="2"/>
        <v>0</v>
      </c>
      <c r="X16" s="260">
        <v>0</v>
      </c>
      <c r="Y16" s="242">
        <f t="shared" si="8"/>
        <v>0</v>
      </c>
      <c r="Z16" s="261" t="str">
        <f t="shared" si="6"/>
        <v xml:space="preserve"> </v>
      </c>
    </row>
    <row r="17" spans="4:26" s="232" customFormat="1" ht="33" customHeight="1" thickBot="1">
      <c r="D17" s="234"/>
      <c r="E17" s="234"/>
      <c r="F17" s="263">
        <f t="shared" si="3"/>
        <v>12</v>
      </c>
      <c r="G17" s="264"/>
      <c r="H17" s="265">
        <v>0</v>
      </c>
      <c r="I17" s="257">
        <v>0</v>
      </c>
      <c r="J17" s="258">
        <v>0</v>
      </c>
      <c r="K17" s="259">
        <v>0</v>
      </c>
      <c r="L17" s="242">
        <f t="shared" si="0"/>
        <v>0</v>
      </c>
      <c r="M17" s="260">
        <v>0</v>
      </c>
      <c r="N17" s="242">
        <f t="shared" si="7"/>
        <v>0</v>
      </c>
      <c r="O17" s="261" t="str">
        <f t="shared" si="4"/>
        <v xml:space="preserve"> </v>
      </c>
      <c r="Q17" s="266">
        <f t="shared" si="5"/>
        <v>12</v>
      </c>
      <c r="R17" s="267"/>
      <c r="S17" s="268">
        <f t="shared" si="1"/>
        <v>0</v>
      </c>
      <c r="T17" s="257">
        <v>0</v>
      </c>
      <c r="U17" s="258">
        <v>0</v>
      </c>
      <c r="V17" s="259">
        <v>0</v>
      </c>
      <c r="W17" s="242">
        <f t="shared" si="2"/>
        <v>0</v>
      </c>
      <c r="X17" s="260">
        <v>0</v>
      </c>
      <c r="Y17" s="242">
        <f t="shared" si="8"/>
        <v>0</v>
      </c>
      <c r="Z17" s="261" t="str">
        <f t="shared" si="6"/>
        <v xml:space="preserve"> </v>
      </c>
    </row>
    <row r="18" spans="4:26" s="232" customFormat="1" ht="33" customHeight="1" thickBot="1">
      <c r="F18" s="1001" t="s">
        <v>36</v>
      </c>
      <c r="G18" s="1002"/>
      <c r="H18" s="269">
        <f>SUM(H6:H17)</f>
        <v>0</v>
      </c>
      <c r="I18" s="270"/>
      <c r="J18" s="1003" t="s">
        <v>37</v>
      </c>
      <c r="K18" s="1003"/>
      <c r="L18" s="1003"/>
      <c r="M18" s="1003"/>
      <c r="N18" s="1004"/>
      <c r="O18" s="271" t="str">
        <f>IFERROR(AVERAGE(O6:O17), " ")</f>
        <v xml:space="preserve"> </v>
      </c>
      <c r="Q18" s="1005" t="s">
        <v>36</v>
      </c>
      <c r="R18" s="1006"/>
      <c r="S18" s="272">
        <f>SUM(S6:S17)</f>
        <v>0</v>
      </c>
      <c r="T18" s="273"/>
      <c r="U18" s="984" t="s">
        <v>38</v>
      </c>
      <c r="V18" s="984"/>
      <c r="W18" s="984"/>
      <c r="X18" s="984"/>
      <c r="Y18" s="985"/>
      <c r="Z18" s="274" t="str">
        <f>IFERROR(AVERAGE(Z6:Z17)," ")</f>
        <v xml:space="preserve"> </v>
      </c>
    </row>
    <row r="19" spans="4:26" s="232" customFormat="1" ht="33" customHeight="1">
      <c r="F19" s="275" t="s">
        <v>39</v>
      </c>
      <c r="G19" s="233"/>
      <c r="H19" s="234"/>
      <c r="J19" s="234"/>
      <c r="K19" s="234"/>
      <c r="O19" s="235"/>
      <c r="Q19" s="275" t="s">
        <v>39</v>
      </c>
      <c r="R19" s="233"/>
      <c r="S19" s="234"/>
      <c r="U19" s="234"/>
      <c r="V19" s="234"/>
      <c r="Z19" s="235"/>
    </row>
    <row r="20" spans="4:26" s="232" customFormat="1" ht="33" customHeight="1">
      <c r="F20" s="243" t="s">
        <v>40</v>
      </c>
      <c r="G20" s="978" t="s">
        <v>41</v>
      </c>
      <c r="H20" s="979"/>
      <c r="I20" s="979"/>
      <c r="J20" s="979"/>
      <c r="K20" s="979"/>
      <c r="L20" s="979"/>
      <c r="M20" s="979"/>
      <c r="N20" s="979"/>
      <c r="O20" s="980"/>
      <c r="Q20" s="243" t="s">
        <v>40</v>
      </c>
      <c r="R20" s="978" t="s">
        <v>41</v>
      </c>
      <c r="S20" s="979"/>
      <c r="T20" s="979"/>
      <c r="U20" s="979"/>
      <c r="V20" s="979"/>
      <c r="W20" s="979"/>
      <c r="X20" s="979"/>
      <c r="Y20" s="979"/>
      <c r="Z20" s="980"/>
    </row>
    <row r="21" spans="4:26" ht="36" customHeight="1">
      <c r="F21" s="243" t="s">
        <v>42</v>
      </c>
      <c r="G21" s="978" t="s">
        <v>43</v>
      </c>
      <c r="H21" s="979"/>
      <c r="I21" s="979"/>
      <c r="J21" s="979"/>
      <c r="K21" s="979"/>
      <c r="L21" s="979"/>
      <c r="M21" s="979"/>
      <c r="N21" s="979"/>
      <c r="O21" s="980"/>
      <c r="Q21" s="243" t="s">
        <v>42</v>
      </c>
      <c r="R21" s="978" t="s">
        <v>43</v>
      </c>
      <c r="S21" s="979"/>
      <c r="T21" s="979"/>
      <c r="U21" s="979"/>
      <c r="V21" s="979"/>
      <c r="W21" s="979"/>
      <c r="X21" s="979"/>
      <c r="Y21" s="979"/>
      <c r="Z21" s="980"/>
    </row>
    <row r="22" spans="4:26" ht="72" customHeight="1">
      <c r="F22" s="243" t="s">
        <v>44</v>
      </c>
      <c r="G22" s="981" t="s">
        <v>45</v>
      </c>
      <c r="H22" s="982"/>
      <c r="I22" s="982"/>
      <c r="J22" s="982"/>
      <c r="K22" s="982"/>
      <c r="L22" s="982"/>
      <c r="M22" s="982"/>
      <c r="N22" s="982"/>
      <c r="O22" s="983"/>
      <c r="Q22" s="243" t="s">
        <v>44</v>
      </c>
      <c r="R22" s="981" t="s">
        <v>45</v>
      </c>
      <c r="S22" s="982"/>
      <c r="T22" s="982"/>
      <c r="U22" s="982"/>
      <c r="V22" s="982"/>
      <c r="W22" s="982"/>
      <c r="X22" s="982"/>
      <c r="Y22" s="982"/>
      <c r="Z22" s="983"/>
    </row>
    <row r="23" spans="4:26" ht="36" customHeight="1"/>
    <row r="24" spans="4:26" s="232" customFormat="1">
      <c r="G24" s="233"/>
      <c r="H24" s="234"/>
      <c r="J24" s="234"/>
      <c r="K24" s="234"/>
      <c r="O24" s="235"/>
      <c r="S24" s="234"/>
      <c r="U24" s="234"/>
      <c r="V24" s="234"/>
      <c r="W24" s="234"/>
      <c r="X24" s="234"/>
      <c r="Y24" s="234"/>
    </row>
  </sheetData>
  <mergeCells count="20">
    <mergeCell ref="U18:Y18"/>
    <mergeCell ref="B3:D4"/>
    <mergeCell ref="F3:H3"/>
    <mergeCell ref="Q3:S3"/>
    <mergeCell ref="F4:F5"/>
    <mergeCell ref="G4:G5"/>
    <mergeCell ref="Q4:Q5"/>
    <mergeCell ref="R4:R5"/>
    <mergeCell ref="B5:C5"/>
    <mergeCell ref="B6:C9"/>
    <mergeCell ref="B10:C13"/>
    <mergeCell ref="F18:G18"/>
    <mergeCell ref="J18:N18"/>
    <mergeCell ref="Q18:R18"/>
    <mergeCell ref="G20:O20"/>
    <mergeCell ref="R20:Z20"/>
    <mergeCell ref="G21:O21"/>
    <mergeCell ref="R21:Z21"/>
    <mergeCell ref="G22:O22"/>
    <mergeCell ref="R22:Z2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31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13FFC-D3DB-4EA1-B2E5-F375B4A910DA}">
  <sheetPr>
    <tabColor theme="1"/>
  </sheetPr>
  <dimension ref="B3:I26"/>
  <sheetViews>
    <sheetView showGridLines="0" zoomScale="85" zoomScaleNormal="85" workbookViewId="0">
      <selection activeCell="F12" sqref="F12"/>
    </sheetView>
  </sheetViews>
  <sheetFormatPr defaultRowHeight="15"/>
  <cols>
    <col min="1" max="1" width="6" customWidth="1"/>
    <col min="2" max="2" width="17.140625" customWidth="1"/>
    <col min="3" max="3" width="22.140625" customWidth="1"/>
    <col min="4" max="4" width="48.7109375" customWidth="1"/>
    <col min="5" max="5" width="33.85546875" customWidth="1"/>
    <col min="6" max="6" width="57" customWidth="1"/>
    <col min="7" max="7" width="34" customWidth="1"/>
    <col min="8" max="8" width="15.85546875" customWidth="1"/>
    <col min="9" max="9" width="21.7109375" customWidth="1"/>
    <col min="10" max="10" width="18.85546875" customWidth="1"/>
    <col min="11" max="11" width="16.140625" customWidth="1"/>
    <col min="12" max="12" width="23.5703125" customWidth="1"/>
    <col min="13" max="13" width="11.85546875" customWidth="1"/>
    <col min="14" max="14" width="11.42578125" customWidth="1"/>
  </cols>
  <sheetData>
    <row r="3" spans="2:9" ht="19.5" customHeight="1">
      <c r="B3" s="866" t="s">
        <v>60</v>
      </c>
      <c r="C3" s="608" t="s">
        <v>54</v>
      </c>
      <c r="D3" s="1007" t="s">
        <v>61</v>
      </c>
      <c r="E3" s="1008"/>
    </row>
    <row r="4" spans="2:9" ht="24.75" customHeight="1">
      <c r="B4" s="866"/>
      <c r="C4" s="608" t="s">
        <v>599</v>
      </c>
      <c r="D4" s="1009"/>
      <c r="E4" s="1010"/>
    </row>
    <row r="5" spans="2:9" ht="18.75" customHeight="1">
      <c r="B5" s="877" t="s">
        <v>598</v>
      </c>
      <c r="C5" s="877"/>
      <c r="D5" s="877"/>
      <c r="E5" s="877"/>
      <c r="I5" s="143"/>
    </row>
    <row r="6" spans="2:9" ht="120" customHeight="1">
      <c r="B6" s="607" t="s">
        <v>887</v>
      </c>
      <c r="C6" s="607">
        <v>6</v>
      </c>
      <c r="D6" s="1011" t="s">
        <v>1208</v>
      </c>
      <c r="E6" s="1012"/>
    </row>
    <row r="8" spans="2:9" ht="15.75">
      <c r="B8" s="867" t="s">
        <v>71</v>
      </c>
      <c r="C8" s="868"/>
      <c r="D8" s="868"/>
      <c r="E8" s="869"/>
    </row>
    <row r="9" spans="2:9" ht="23.25" customHeight="1">
      <c r="B9" s="144" t="s">
        <v>60</v>
      </c>
      <c r="C9" s="144" t="s">
        <v>595</v>
      </c>
      <c r="D9" s="144" t="s">
        <v>600</v>
      </c>
      <c r="E9" s="144" t="s">
        <v>596</v>
      </c>
    </row>
    <row r="10" spans="2:9" ht="18.75" customHeight="1">
      <c r="B10" s="145" t="s">
        <v>887</v>
      </c>
      <c r="C10" s="145">
        <f>C6</f>
        <v>6</v>
      </c>
      <c r="D10" s="147"/>
      <c r="E10" s="147">
        <f>ROUND(D10*C10,2)</f>
        <v>0</v>
      </c>
    </row>
    <row r="11" spans="2:9" ht="18.75" customHeight="1">
      <c r="B11" s="870" t="s">
        <v>597</v>
      </c>
      <c r="C11" s="871"/>
      <c r="D11" s="872"/>
      <c r="E11" s="148">
        <f>ROUND(E10/12,2)</f>
        <v>0</v>
      </c>
    </row>
    <row r="12" spans="2:9" ht="21.75" customHeight="1"/>
    <row r="13" spans="2:9" ht="36.75" customHeight="1"/>
    <row r="17" spans="2:5" ht="71.25" customHeight="1"/>
    <row r="21" spans="2:5" ht="24" customHeight="1">
      <c r="B21" s="598" t="s">
        <v>608</v>
      </c>
      <c r="C21" s="599"/>
      <c r="D21" s="600"/>
      <c r="E21" s="600"/>
    </row>
    <row r="22" spans="2:5" ht="35.25" customHeight="1">
      <c r="B22" s="428">
        <v>1</v>
      </c>
      <c r="C22" s="615" t="s">
        <v>707</v>
      </c>
      <c r="D22" s="616"/>
      <c r="E22" s="616"/>
    </row>
    <row r="23" spans="2:5" ht="64.5" customHeight="1">
      <c r="B23" s="428">
        <f>B22+1</f>
        <v>2</v>
      </c>
      <c r="C23" s="873" t="s">
        <v>708</v>
      </c>
      <c r="D23" s="874"/>
      <c r="E23" s="874"/>
    </row>
    <row r="24" spans="2:5" ht="39" customHeight="1">
      <c r="B24" s="428">
        <f t="shared" ref="B24:B26" si="0">B23+1</f>
        <v>3</v>
      </c>
      <c r="C24" s="615" t="s">
        <v>709</v>
      </c>
      <c r="D24" s="616"/>
      <c r="E24" s="616"/>
    </row>
    <row r="25" spans="2:5" ht="40.5" customHeight="1">
      <c r="B25" s="428">
        <f t="shared" si="0"/>
        <v>4</v>
      </c>
      <c r="C25" s="615" t="s">
        <v>1185</v>
      </c>
      <c r="D25" s="616"/>
      <c r="E25" s="616"/>
    </row>
    <row r="26" spans="2:5" ht="75.75" customHeight="1">
      <c r="B26" s="428">
        <f t="shared" si="0"/>
        <v>5</v>
      </c>
      <c r="C26" s="863" t="s">
        <v>1164</v>
      </c>
      <c r="D26" s="864"/>
      <c r="E26" s="864"/>
    </row>
  </sheetData>
  <mergeCells count="11">
    <mergeCell ref="B11:D11"/>
    <mergeCell ref="D3:E4"/>
    <mergeCell ref="D6:E6"/>
    <mergeCell ref="B3:B4"/>
    <mergeCell ref="B5:E5"/>
    <mergeCell ref="B8:E8"/>
    <mergeCell ref="C22:E22"/>
    <mergeCell ref="C23:E23"/>
    <mergeCell ref="C24:E24"/>
    <mergeCell ref="C25:E25"/>
    <mergeCell ref="C26:E2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835E5-9DA0-4264-BCE0-1277B908402E}">
  <sheetPr>
    <tabColor theme="1"/>
  </sheetPr>
  <dimension ref="B2:H83"/>
  <sheetViews>
    <sheetView showGridLines="0" topLeftCell="A71" zoomScaleNormal="100" workbookViewId="0">
      <selection activeCell="C79" sqref="C79:E79"/>
    </sheetView>
  </sheetViews>
  <sheetFormatPr defaultColWidth="9.140625" defaultRowHeight="25.5"/>
  <cols>
    <col min="1" max="1" width="4.85546875" style="479" customWidth="1"/>
    <col min="2" max="2" width="11" style="587" customWidth="1"/>
    <col min="3" max="3" width="129.5703125" style="588" customWidth="1"/>
    <col min="4" max="4" width="28" style="589" customWidth="1"/>
    <col min="5" max="5" width="29.28515625" style="590" customWidth="1"/>
    <col min="6" max="6" width="6.140625" style="478" customWidth="1"/>
    <col min="7" max="7" width="9.140625" style="479"/>
    <col min="8" max="8" width="21.28515625" style="479" customWidth="1"/>
    <col min="9" max="16384" width="9.140625" style="479"/>
  </cols>
  <sheetData>
    <row r="2" spans="2:6" ht="33.75" customHeight="1">
      <c r="B2" s="881" t="s">
        <v>1141</v>
      </c>
      <c r="C2" s="882"/>
      <c r="D2" s="882"/>
      <c r="E2" s="883"/>
    </row>
    <row r="3" spans="2:6" ht="33.75" customHeight="1">
      <c r="B3" s="884" t="s">
        <v>112</v>
      </c>
      <c r="C3" s="884"/>
      <c r="D3" s="884"/>
      <c r="E3" s="884"/>
      <c r="F3" s="480"/>
    </row>
    <row r="4" spans="2:6" ht="35.25" customHeight="1">
      <c r="B4" s="481" t="s">
        <v>56</v>
      </c>
      <c r="C4" s="481" t="s">
        <v>62</v>
      </c>
      <c r="D4" s="482" t="s">
        <v>63</v>
      </c>
      <c r="E4" s="483" t="s">
        <v>64</v>
      </c>
      <c r="F4" s="480"/>
    </row>
    <row r="5" spans="2:6" ht="31.5" customHeight="1">
      <c r="B5" s="484">
        <v>1</v>
      </c>
      <c r="C5" s="485" t="s">
        <v>65</v>
      </c>
      <c r="D5" s="486"/>
      <c r="E5" s="487"/>
      <c r="F5" s="480"/>
    </row>
    <row r="6" spans="2:6" ht="30.75" customHeight="1">
      <c r="B6" s="488" t="s">
        <v>6</v>
      </c>
      <c r="C6" s="489" t="s">
        <v>113</v>
      </c>
      <c r="D6" s="490"/>
      <c r="E6" s="491"/>
      <c r="F6" s="480"/>
    </row>
    <row r="7" spans="2:6" ht="27" customHeight="1">
      <c r="B7" s="488" t="s">
        <v>7</v>
      </c>
      <c r="C7" s="489" t="s">
        <v>114</v>
      </c>
      <c r="D7" s="490"/>
      <c r="E7" s="492"/>
      <c r="F7" s="480"/>
    </row>
    <row r="8" spans="2:6" ht="27" customHeight="1">
      <c r="B8" s="488"/>
      <c r="C8" s="493" t="s">
        <v>1130</v>
      </c>
      <c r="D8" s="494"/>
      <c r="E8" s="492"/>
      <c r="F8" s="480"/>
    </row>
    <row r="9" spans="2:6" ht="27.75" customHeight="1">
      <c r="B9" s="488" t="s">
        <v>8</v>
      </c>
      <c r="C9" s="489" t="s">
        <v>66</v>
      </c>
      <c r="D9" s="495">
        <v>0.2</v>
      </c>
      <c r="E9" s="496">
        <f>D9*D8</f>
        <v>0</v>
      </c>
      <c r="F9" s="480"/>
    </row>
    <row r="10" spans="2:6" ht="29.25" customHeight="1">
      <c r="B10" s="488" t="s">
        <v>9</v>
      </c>
      <c r="C10" s="489" t="s">
        <v>67</v>
      </c>
      <c r="D10" s="490"/>
      <c r="E10" s="492"/>
      <c r="F10" s="480"/>
    </row>
    <row r="11" spans="2:6" ht="29.25" customHeight="1">
      <c r="B11" s="488" t="s">
        <v>10</v>
      </c>
      <c r="C11" s="489" t="s">
        <v>68</v>
      </c>
      <c r="D11" s="490"/>
      <c r="E11" s="492"/>
      <c r="F11" s="480"/>
    </row>
    <row r="12" spans="2:6" ht="30.75" customHeight="1">
      <c r="B12" s="488" t="s">
        <v>11</v>
      </c>
      <c r="C12" s="489" t="s">
        <v>69</v>
      </c>
      <c r="D12" s="490"/>
      <c r="E12" s="492"/>
      <c r="F12" s="480"/>
    </row>
    <row r="13" spans="2:6" ht="33" customHeight="1">
      <c r="B13" s="885" t="s">
        <v>115</v>
      </c>
      <c r="C13" s="886"/>
      <c r="D13" s="497"/>
      <c r="E13" s="498">
        <f>SUM(E6:E12)</f>
        <v>0</v>
      </c>
      <c r="F13" s="480"/>
    </row>
    <row r="14" spans="2:6" ht="33" customHeight="1">
      <c r="B14" s="488"/>
      <c r="C14" s="499" t="s">
        <v>116</v>
      </c>
      <c r="D14" s="490"/>
      <c r="E14" s="492"/>
      <c r="F14" s="480"/>
    </row>
    <row r="15" spans="2:6" ht="31.5" customHeight="1">
      <c r="B15" s="488" t="s">
        <v>12</v>
      </c>
      <c r="C15" s="500" t="s">
        <v>117</v>
      </c>
      <c r="D15" s="490"/>
      <c r="E15" s="501"/>
      <c r="F15" s="480"/>
    </row>
    <row r="16" spans="2:6" ht="31.5" customHeight="1">
      <c r="B16" s="488" t="s">
        <v>13</v>
      </c>
      <c r="C16" s="502" t="s">
        <v>1131</v>
      </c>
      <c r="D16" s="490"/>
      <c r="E16" s="501"/>
      <c r="F16" s="480"/>
    </row>
    <row r="17" spans="2:8" ht="33.75" customHeight="1">
      <c r="B17" s="484">
        <v>1</v>
      </c>
      <c r="C17" s="503" t="s">
        <v>118</v>
      </c>
      <c r="D17" s="504"/>
      <c r="E17" s="505">
        <f>E13+E15</f>
        <v>0</v>
      </c>
      <c r="F17" s="480"/>
    </row>
    <row r="18" spans="2:8" ht="33.75" customHeight="1">
      <c r="B18" s="484">
        <v>2</v>
      </c>
      <c r="C18" s="485" t="s">
        <v>119</v>
      </c>
      <c r="D18" s="486"/>
      <c r="E18" s="487"/>
      <c r="F18" s="480"/>
    </row>
    <row r="19" spans="2:8" ht="33.75" customHeight="1">
      <c r="B19" s="497"/>
      <c r="C19" s="506" t="s">
        <v>120</v>
      </c>
      <c r="D19" s="507"/>
      <c r="E19" s="508"/>
      <c r="F19" s="480"/>
    </row>
    <row r="20" spans="2:8" ht="33.75" customHeight="1">
      <c r="B20" s="509" t="s">
        <v>6</v>
      </c>
      <c r="C20" s="510" t="s">
        <v>70</v>
      </c>
      <c r="D20" s="511"/>
      <c r="E20" s="512"/>
      <c r="F20" s="480"/>
    </row>
    <row r="21" spans="2:8" ht="33.75" customHeight="1">
      <c r="B21" s="509" t="s">
        <v>7</v>
      </c>
      <c r="C21" s="510" t="s">
        <v>121</v>
      </c>
      <c r="D21" s="511"/>
      <c r="E21" s="513"/>
      <c r="F21" s="480"/>
      <c r="H21" s="514">
        <f>-0.06*E6</f>
        <v>0</v>
      </c>
    </row>
    <row r="22" spans="2:8" ht="33.75" customHeight="1">
      <c r="B22" s="509" t="s">
        <v>8</v>
      </c>
      <c r="C22" s="510" t="s">
        <v>122</v>
      </c>
      <c r="D22" s="511"/>
      <c r="E22" s="512"/>
      <c r="F22" s="480"/>
    </row>
    <row r="23" spans="2:8" ht="33.75" customHeight="1">
      <c r="B23" s="509" t="s">
        <v>9</v>
      </c>
      <c r="C23" s="16" t="s">
        <v>1144</v>
      </c>
      <c r="D23" s="511"/>
      <c r="E23" s="515"/>
      <c r="F23" s="480"/>
    </row>
    <row r="24" spans="2:8" ht="33.75" customHeight="1">
      <c r="B24" s="509" t="s">
        <v>10</v>
      </c>
      <c r="C24" s="16" t="s">
        <v>1132</v>
      </c>
      <c r="D24" s="511"/>
      <c r="E24" s="515"/>
      <c r="F24" s="480"/>
    </row>
    <row r="25" spans="2:8" ht="33.75" customHeight="1">
      <c r="B25" s="509" t="s">
        <v>11</v>
      </c>
      <c r="C25" s="16" t="s">
        <v>1133</v>
      </c>
      <c r="D25" s="511"/>
      <c r="E25" s="515"/>
      <c r="F25" s="480"/>
    </row>
    <row r="26" spans="2:8" ht="33.75" customHeight="1">
      <c r="B26" s="509" t="s">
        <v>12</v>
      </c>
      <c r="C26" s="16" t="s">
        <v>111</v>
      </c>
      <c r="D26" s="511"/>
      <c r="E26" s="515"/>
      <c r="F26" s="480"/>
    </row>
    <row r="27" spans="2:8" ht="33.75" customHeight="1">
      <c r="B27" s="516"/>
      <c r="C27" s="517" t="s">
        <v>123</v>
      </c>
      <c r="D27" s="518"/>
      <c r="E27" s="519">
        <f>SUM(E20:E26)</f>
        <v>0</v>
      </c>
      <c r="F27" s="480"/>
    </row>
    <row r="28" spans="2:8" ht="33.75" customHeight="1">
      <c r="B28" s="520"/>
      <c r="C28" s="506" t="s">
        <v>124</v>
      </c>
      <c r="D28" s="521"/>
      <c r="E28" s="522"/>
      <c r="F28" s="480"/>
    </row>
    <row r="29" spans="2:8" ht="33.75" customHeight="1">
      <c r="B29" s="509" t="s">
        <v>6</v>
      </c>
      <c r="C29" s="510" t="s">
        <v>125</v>
      </c>
      <c r="D29" s="511"/>
      <c r="E29" s="512">
        <f>D29*E$13</f>
        <v>0</v>
      </c>
      <c r="F29" s="480"/>
    </row>
    <row r="30" spans="2:8" ht="51.75" customHeight="1">
      <c r="B30" s="509" t="s">
        <v>7</v>
      </c>
      <c r="C30" s="510" t="s">
        <v>1134</v>
      </c>
      <c r="D30" s="523"/>
      <c r="E30" s="512">
        <f t="shared" ref="E30:E36" si="0">D30*E$13</f>
        <v>0</v>
      </c>
      <c r="F30" s="480"/>
    </row>
    <row r="31" spans="2:8" ht="51" customHeight="1">
      <c r="B31" s="509" t="s">
        <v>8</v>
      </c>
      <c r="C31" s="524" t="s">
        <v>196</v>
      </c>
      <c r="D31" s="523"/>
      <c r="E31" s="512">
        <f t="shared" si="0"/>
        <v>0</v>
      </c>
      <c r="F31" s="480"/>
    </row>
    <row r="32" spans="2:8" ht="33.75" customHeight="1">
      <c r="B32" s="509" t="s">
        <v>9</v>
      </c>
      <c r="C32" s="510" t="s">
        <v>126</v>
      </c>
      <c r="D32" s="523"/>
      <c r="E32" s="512">
        <f t="shared" si="0"/>
        <v>0</v>
      </c>
      <c r="F32" s="480"/>
    </row>
    <row r="33" spans="2:6" ht="33.75" customHeight="1">
      <c r="B33" s="509" t="s">
        <v>10</v>
      </c>
      <c r="C33" s="510" t="s">
        <v>127</v>
      </c>
      <c r="D33" s="523"/>
      <c r="E33" s="512">
        <f t="shared" si="0"/>
        <v>0</v>
      </c>
      <c r="F33" s="480"/>
    </row>
    <row r="34" spans="2:6" ht="33.75" customHeight="1">
      <c r="B34" s="525" t="s">
        <v>11</v>
      </c>
      <c r="C34" s="526" t="s">
        <v>128</v>
      </c>
      <c r="D34" s="527"/>
      <c r="E34" s="512">
        <f t="shared" si="0"/>
        <v>0</v>
      </c>
      <c r="F34" s="480"/>
    </row>
    <row r="35" spans="2:6" ht="33.75" customHeight="1">
      <c r="B35" s="509" t="s">
        <v>12</v>
      </c>
      <c r="C35" s="510" t="s">
        <v>197</v>
      </c>
      <c r="D35" s="523"/>
      <c r="E35" s="512">
        <f t="shared" si="0"/>
        <v>0</v>
      </c>
      <c r="F35" s="480"/>
    </row>
    <row r="36" spans="2:6" ht="33.75" customHeight="1">
      <c r="B36" s="509" t="s">
        <v>13</v>
      </c>
      <c r="C36" s="510" t="s">
        <v>129</v>
      </c>
      <c r="D36" s="527"/>
      <c r="E36" s="512">
        <f t="shared" si="0"/>
        <v>0</v>
      </c>
      <c r="F36" s="480"/>
    </row>
    <row r="37" spans="2:6" ht="33.75" customHeight="1">
      <c r="B37" s="528"/>
      <c r="C37" s="517" t="s">
        <v>130</v>
      </c>
      <c r="D37" s="518"/>
      <c r="E37" s="519">
        <f>SUM(E29:E36)</f>
        <v>0</v>
      </c>
      <c r="F37" s="480"/>
    </row>
    <row r="38" spans="2:6" ht="33.75" customHeight="1">
      <c r="B38" s="520"/>
      <c r="C38" s="506" t="s">
        <v>131</v>
      </c>
      <c r="D38" s="521"/>
      <c r="E38" s="529"/>
      <c r="F38" s="480"/>
    </row>
    <row r="39" spans="2:6" ht="33.75" customHeight="1">
      <c r="B39" s="488" t="s">
        <v>6</v>
      </c>
      <c r="C39" s="530" t="s">
        <v>76</v>
      </c>
      <c r="D39" s="490"/>
      <c r="E39" s="492">
        <f>D39*E$13</f>
        <v>0</v>
      </c>
      <c r="F39" s="480"/>
    </row>
    <row r="40" spans="2:6" ht="33.75" customHeight="1" thickBot="1">
      <c r="B40" s="531" t="s">
        <v>7</v>
      </c>
      <c r="C40" s="532" t="s">
        <v>77</v>
      </c>
      <c r="D40" s="533"/>
      <c r="E40" s="492">
        <f>D40*E$13</f>
        <v>0</v>
      </c>
      <c r="F40" s="480"/>
    </row>
    <row r="41" spans="2:6" ht="33.75" customHeight="1" thickBot="1">
      <c r="B41" s="534" t="s">
        <v>8</v>
      </c>
      <c r="C41" s="535" t="s">
        <v>132</v>
      </c>
      <c r="D41" s="536"/>
      <c r="E41" s="537">
        <f>D41*E$13</f>
        <v>0</v>
      </c>
      <c r="F41" s="480"/>
    </row>
    <row r="42" spans="2:6" ht="33.75" customHeight="1">
      <c r="B42" s="80" t="s">
        <v>9</v>
      </c>
      <c r="C42" s="81" t="s">
        <v>133</v>
      </c>
      <c r="D42" s="82"/>
      <c r="E42" s="538">
        <f>D42*E$13</f>
        <v>0</v>
      </c>
      <c r="F42" s="480"/>
    </row>
    <row r="43" spans="2:6" ht="31.5" customHeight="1">
      <c r="B43" s="528"/>
      <c r="C43" s="517" t="s">
        <v>134</v>
      </c>
      <c r="D43" s="518"/>
      <c r="E43" s="519">
        <f>SUM(E39:E42)</f>
        <v>0</v>
      </c>
      <c r="F43" s="480"/>
    </row>
    <row r="44" spans="2:6" ht="33.75" customHeight="1">
      <c r="B44" s="528"/>
      <c r="C44" s="516" t="s">
        <v>135</v>
      </c>
      <c r="D44" s="521"/>
      <c r="E44" s="522"/>
      <c r="F44" s="480"/>
    </row>
    <row r="45" spans="2:6" ht="33.75" customHeight="1" thickBot="1">
      <c r="B45" s="539" t="s">
        <v>6</v>
      </c>
      <c r="C45" s="540" t="s">
        <v>136</v>
      </c>
      <c r="D45" s="541"/>
      <c r="E45" s="542">
        <f>D45*E$13</f>
        <v>0</v>
      </c>
      <c r="F45" s="480"/>
    </row>
    <row r="46" spans="2:6" ht="33" customHeight="1" thickBot="1">
      <c r="B46" s="543" t="s">
        <v>7</v>
      </c>
      <c r="C46" s="544" t="s">
        <v>137</v>
      </c>
      <c r="D46" s="545"/>
      <c r="E46" s="546">
        <f>D46*E$13</f>
        <v>0</v>
      </c>
      <c r="F46" s="480"/>
    </row>
    <row r="47" spans="2:6" ht="34.5" customHeight="1">
      <c r="B47" s="547"/>
      <c r="C47" s="548" t="s">
        <v>138</v>
      </c>
      <c r="D47" s="549"/>
      <c r="E47" s="550">
        <f>E45+E46</f>
        <v>0</v>
      </c>
      <c r="F47" s="480"/>
    </row>
    <row r="48" spans="2:6" ht="39.75" customHeight="1">
      <c r="B48" s="484">
        <v>2</v>
      </c>
      <c r="C48" s="503" t="s">
        <v>139</v>
      </c>
      <c r="D48" s="504"/>
      <c r="E48" s="505">
        <f>E27+E37+E43+E47</f>
        <v>0</v>
      </c>
      <c r="F48" s="480"/>
    </row>
    <row r="49" spans="2:6" ht="33" customHeight="1">
      <c r="B49" s="484">
        <v>3</v>
      </c>
      <c r="C49" s="485" t="s">
        <v>140</v>
      </c>
      <c r="D49" s="486"/>
      <c r="E49" s="487"/>
      <c r="F49" s="480"/>
    </row>
    <row r="50" spans="2:6" ht="39" customHeight="1">
      <c r="B50" s="531" t="s">
        <v>6</v>
      </c>
      <c r="C50" s="532" t="s">
        <v>78</v>
      </c>
      <c r="D50" s="533"/>
      <c r="E50" s="551">
        <f>D50*E$13</f>
        <v>0</v>
      </c>
      <c r="F50" s="480"/>
    </row>
    <row r="51" spans="2:6" ht="39" customHeight="1" thickBot="1">
      <c r="B51" s="552" t="s">
        <v>7</v>
      </c>
      <c r="C51" s="553" t="s">
        <v>1135</v>
      </c>
      <c r="D51" s="533"/>
      <c r="E51" s="551">
        <f>D51*E$13</f>
        <v>0</v>
      </c>
      <c r="F51" s="480"/>
    </row>
    <row r="52" spans="2:6" ht="35.25" customHeight="1" thickBot="1">
      <c r="B52" s="534" t="s">
        <v>8</v>
      </c>
      <c r="C52" s="554" t="s">
        <v>205</v>
      </c>
      <c r="D52" s="555"/>
      <c r="E52" s="537">
        <f>D52*E$13</f>
        <v>0</v>
      </c>
      <c r="F52" s="480"/>
    </row>
    <row r="53" spans="2:6" ht="31.5" customHeight="1">
      <c r="B53" s="556" t="s">
        <v>9</v>
      </c>
      <c r="C53" s="557" t="s">
        <v>204</v>
      </c>
      <c r="D53" s="558"/>
      <c r="E53" s="538">
        <f>D53*E$13</f>
        <v>0</v>
      </c>
      <c r="F53" s="480"/>
    </row>
    <row r="54" spans="2:6" ht="31.5" customHeight="1">
      <c r="B54" s="488" t="s">
        <v>10</v>
      </c>
      <c r="C54" s="489" t="s">
        <v>79</v>
      </c>
      <c r="D54" s="533"/>
      <c r="E54" s="538">
        <f t="shared" ref="E54:E55" si="1">D54*E$13</f>
        <v>0</v>
      </c>
      <c r="F54" s="480"/>
    </row>
    <row r="55" spans="2:6" ht="29.25" customHeight="1">
      <c r="B55" s="509" t="s">
        <v>11</v>
      </c>
      <c r="C55" s="510" t="s">
        <v>80</v>
      </c>
      <c r="D55" s="533"/>
      <c r="E55" s="538">
        <f t="shared" si="1"/>
        <v>0</v>
      </c>
      <c r="F55" s="480"/>
    </row>
    <row r="56" spans="2:6" ht="32.25" customHeight="1">
      <c r="B56" s="484">
        <v>3</v>
      </c>
      <c r="C56" s="559" t="s">
        <v>141</v>
      </c>
      <c r="D56" s="560"/>
      <c r="E56" s="561">
        <f>SUM(E50:E55)</f>
        <v>0</v>
      </c>
      <c r="F56" s="480"/>
    </row>
    <row r="57" spans="2:6" ht="33" customHeight="1">
      <c r="B57" s="484">
        <v>4</v>
      </c>
      <c r="C57" s="485" t="s">
        <v>142</v>
      </c>
      <c r="D57" s="486"/>
      <c r="E57" s="487"/>
      <c r="F57" s="480"/>
    </row>
    <row r="58" spans="2:6" ht="33" customHeight="1">
      <c r="B58" s="509" t="s">
        <v>6</v>
      </c>
      <c r="C58" s="553" t="s">
        <v>81</v>
      </c>
      <c r="D58" s="511"/>
      <c r="E58" s="512">
        <f>D58*E$13</f>
        <v>0</v>
      </c>
      <c r="F58" s="480"/>
    </row>
    <row r="59" spans="2:6" ht="30.75" customHeight="1">
      <c r="B59" s="509" t="s">
        <v>7</v>
      </c>
      <c r="C59" s="562" t="s">
        <v>143</v>
      </c>
      <c r="D59" s="511"/>
      <c r="E59" s="512">
        <f t="shared" ref="E59:E61" si="2">D59*E$13</f>
        <v>0</v>
      </c>
      <c r="F59" s="480"/>
    </row>
    <row r="60" spans="2:6" ht="35.25" customHeight="1">
      <c r="B60" s="509" t="s">
        <v>8</v>
      </c>
      <c r="C60" s="562" t="s">
        <v>144</v>
      </c>
      <c r="D60" s="511"/>
      <c r="E60" s="512">
        <f t="shared" si="2"/>
        <v>0</v>
      </c>
      <c r="F60" s="480"/>
    </row>
    <row r="61" spans="2:6" ht="29.25" customHeight="1" thickBot="1">
      <c r="B61" s="539" t="s">
        <v>9</v>
      </c>
      <c r="C61" s="563" t="s">
        <v>83</v>
      </c>
      <c r="D61" s="541"/>
      <c r="E61" s="512">
        <f t="shared" si="2"/>
        <v>0</v>
      </c>
      <c r="F61" s="564"/>
    </row>
    <row r="62" spans="2:6" ht="36" customHeight="1" thickBot="1">
      <c r="B62" s="543" t="s">
        <v>10</v>
      </c>
      <c r="C62" s="565" t="s">
        <v>191</v>
      </c>
      <c r="D62" s="536"/>
      <c r="E62" s="546">
        <f>D62*E$13</f>
        <v>0</v>
      </c>
      <c r="F62" s="480"/>
    </row>
    <row r="63" spans="2:6" ht="39" customHeight="1">
      <c r="B63" s="566" t="s">
        <v>11</v>
      </c>
      <c r="C63" s="567" t="s">
        <v>198</v>
      </c>
      <c r="D63" s="568"/>
      <c r="E63" s="569">
        <f>D63*E$13</f>
        <v>0</v>
      </c>
      <c r="F63" s="570"/>
    </row>
    <row r="64" spans="2:6" ht="38.25" customHeight="1" thickBot="1">
      <c r="B64" s="539" t="s">
        <v>12</v>
      </c>
      <c r="C64" s="571" t="s">
        <v>193</v>
      </c>
      <c r="D64" s="541"/>
      <c r="E64" s="542">
        <f>D64*E$13</f>
        <v>0</v>
      </c>
      <c r="F64" s="480"/>
    </row>
    <row r="65" spans="2:8" ht="37.5" customHeight="1" thickBot="1">
      <c r="B65" s="543" t="s">
        <v>13</v>
      </c>
      <c r="C65" s="565" t="s">
        <v>199</v>
      </c>
      <c r="D65" s="545"/>
      <c r="E65" s="546">
        <f>D65*E$13</f>
        <v>0</v>
      </c>
      <c r="F65" s="480"/>
    </row>
    <row r="66" spans="2:8" ht="36" customHeight="1">
      <c r="B66" s="572">
        <v>4</v>
      </c>
      <c r="C66" s="573" t="s">
        <v>145</v>
      </c>
      <c r="D66" s="574"/>
      <c r="E66" s="575">
        <f>SUM(E58:E65)</f>
        <v>0</v>
      </c>
      <c r="F66" s="480"/>
    </row>
    <row r="67" spans="2:8" ht="36" customHeight="1">
      <c r="B67" s="887" t="s">
        <v>200</v>
      </c>
      <c r="C67" s="888"/>
      <c r="D67" s="576"/>
      <c r="E67" s="577">
        <f>E37+E43+E47+E56+E66</f>
        <v>0</v>
      </c>
      <c r="F67" s="480"/>
      <c r="H67" s="578">
        <f>D67*E13</f>
        <v>0</v>
      </c>
    </row>
    <row r="68" spans="2:8" ht="36.75" customHeight="1">
      <c r="B68" s="484">
        <v>5</v>
      </c>
      <c r="C68" s="485" t="s">
        <v>146</v>
      </c>
      <c r="D68" s="486"/>
      <c r="E68" s="487"/>
      <c r="F68" s="480"/>
    </row>
    <row r="69" spans="2:8" ht="32.25" customHeight="1">
      <c r="B69" s="509" t="s">
        <v>6</v>
      </c>
      <c r="C69" s="510" t="s">
        <v>71</v>
      </c>
      <c r="D69" s="511"/>
      <c r="E69" s="17"/>
      <c r="F69" s="480"/>
    </row>
    <row r="70" spans="2:8" ht="28.5" customHeight="1">
      <c r="B70" s="509" t="s">
        <v>7</v>
      </c>
      <c r="C70" s="510" t="s">
        <v>147</v>
      </c>
      <c r="D70" s="579"/>
      <c r="E70" s="580"/>
      <c r="F70" s="480"/>
    </row>
    <row r="71" spans="2:8" ht="30" customHeight="1">
      <c r="B71" s="509" t="s">
        <v>8</v>
      </c>
      <c r="C71" s="510" t="s">
        <v>148</v>
      </c>
      <c r="D71" s="579"/>
      <c r="E71" s="512"/>
      <c r="F71" s="480"/>
    </row>
    <row r="72" spans="2:8" ht="32.25" customHeight="1">
      <c r="B72" s="484">
        <v>5</v>
      </c>
      <c r="C72" s="503" t="s">
        <v>149</v>
      </c>
      <c r="D72" s="504"/>
      <c r="E72" s="83">
        <f>SUM(E69:E71)</f>
        <v>0</v>
      </c>
      <c r="F72" s="480"/>
    </row>
    <row r="73" spans="2:8" ht="33" customHeight="1">
      <c r="B73" s="889" t="s">
        <v>1163</v>
      </c>
      <c r="C73" s="890"/>
      <c r="D73" s="581"/>
      <c r="E73" s="582">
        <f>ROUND((E17+E48+E56+E66+E72),2)</f>
        <v>0</v>
      </c>
      <c r="F73" s="480"/>
      <c r="H73" s="578">
        <f>ROUND((E72+H67+E17+E27),2)</f>
        <v>0</v>
      </c>
    </row>
    <row r="74" spans="2:8" ht="33" customHeight="1">
      <c r="B74" s="583" t="s">
        <v>1136</v>
      </c>
      <c r="C74" s="584"/>
      <c r="D74" s="584"/>
      <c r="E74" s="585"/>
      <c r="F74" s="480"/>
    </row>
    <row r="75" spans="2:8" ht="39" customHeight="1">
      <c r="B75" s="586" t="s">
        <v>1137</v>
      </c>
      <c r="C75" s="880" t="s">
        <v>707</v>
      </c>
      <c r="D75" s="880"/>
      <c r="E75" s="880"/>
      <c r="F75" s="480"/>
    </row>
    <row r="76" spans="2:8" ht="68.25" customHeight="1">
      <c r="B76" s="586" t="s">
        <v>1138</v>
      </c>
      <c r="C76" s="878" t="s">
        <v>1142</v>
      </c>
      <c r="D76" s="878"/>
      <c r="E76" s="878"/>
      <c r="F76" s="480"/>
    </row>
    <row r="77" spans="2:8" ht="74.25" customHeight="1">
      <c r="B77" s="586" t="s">
        <v>1139</v>
      </c>
      <c r="C77" s="878" t="s">
        <v>1143</v>
      </c>
      <c r="D77" s="878"/>
      <c r="E77" s="878"/>
      <c r="F77" s="480"/>
    </row>
    <row r="78" spans="2:8" ht="69.75" customHeight="1">
      <c r="B78" s="586" t="s">
        <v>1140</v>
      </c>
      <c r="C78" s="878" t="s">
        <v>1149</v>
      </c>
      <c r="D78" s="878"/>
      <c r="E78" s="878"/>
      <c r="F78" s="480"/>
    </row>
    <row r="79" spans="2:8" ht="67.5" customHeight="1">
      <c r="B79" s="586" t="s">
        <v>1145</v>
      </c>
      <c r="C79" s="878" t="s">
        <v>1146</v>
      </c>
      <c r="D79" s="878"/>
      <c r="E79" s="878"/>
      <c r="F79" s="480"/>
    </row>
    <row r="80" spans="2:8" ht="67.5" customHeight="1">
      <c r="B80" s="586" t="s">
        <v>1148</v>
      </c>
      <c r="C80" s="878" t="s">
        <v>1147</v>
      </c>
      <c r="D80" s="878"/>
      <c r="E80" s="878"/>
      <c r="F80" s="480"/>
    </row>
    <row r="81" spans="2:6" ht="63.75" customHeight="1">
      <c r="B81" s="586" t="s">
        <v>1151</v>
      </c>
      <c r="C81" s="879" t="s">
        <v>1150</v>
      </c>
      <c r="D81" s="879"/>
      <c r="E81" s="879"/>
      <c r="F81" s="480"/>
    </row>
    <row r="82" spans="2:6" ht="65.25" customHeight="1">
      <c r="B82" s="586" t="s">
        <v>1152</v>
      </c>
      <c r="C82" s="878" t="s">
        <v>1153</v>
      </c>
      <c r="D82" s="878"/>
      <c r="E82" s="878"/>
      <c r="F82" s="480"/>
    </row>
    <row r="83" spans="2:6" ht="68.25" customHeight="1">
      <c r="B83" s="586" t="s">
        <v>1154</v>
      </c>
      <c r="C83" s="878" t="s">
        <v>1162</v>
      </c>
      <c r="D83" s="878"/>
      <c r="E83" s="878"/>
    </row>
  </sheetData>
  <mergeCells count="14">
    <mergeCell ref="C75:E75"/>
    <mergeCell ref="B2:E2"/>
    <mergeCell ref="B3:E3"/>
    <mergeCell ref="B13:C13"/>
    <mergeCell ref="B67:C67"/>
    <mergeCell ref="B73:C73"/>
    <mergeCell ref="C82:E82"/>
    <mergeCell ref="C83:E83"/>
    <mergeCell ref="C76:E76"/>
    <mergeCell ref="C77:E77"/>
    <mergeCell ref="C78:E78"/>
    <mergeCell ref="C79:E79"/>
    <mergeCell ref="C80:E80"/>
    <mergeCell ref="C81:E81"/>
  </mergeCells>
  <printOptions horizontalCentered="1" verticalCentered="1"/>
  <pageMargins left="0.39370078740157483" right="0.39370078740157483" top="0.39370078740157483" bottom="0.39370078740157483" header="0" footer="0"/>
  <pageSetup paperSize="9" scale="30" orientation="portrait" r:id="rId1"/>
  <colBreaks count="1" manualBreakCount="1">
    <brk id="5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C0219B-4C9B-4809-928A-E5E6A05FDAEF}">
  <sheetPr>
    <tabColor theme="1"/>
  </sheetPr>
  <dimension ref="B2:H83"/>
  <sheetViews>
    <sheetView showGridLines="0" topLeftCell="A53" zoomScaleNormal="100" workbookViewId="0">
      <selection activeCell="B74" sqref="B74"/>
    </sheetView>
  </sheetViews>
  <sheetFormatPr defaultColWidth="9.140625" defaultRowHeight="25.5"/>
  <cols>
    <col min="1" max="1" width="4.85546875" style="479" customWidth="1"/>
    <col min="2" max="2" width="11" style="587" customWidth="1"/>
    <col min="3" max="3" width="129.5703125" style="588" customWidth="1"/>
    <col min="4" max="4" width="28" style="589" customWidth="1"/>
    <col min="5" max="5" width="29.28515625" style="590" customWidth="1"/>
    <col min="6" max="6" width="6.140625" style="478" customWidth="1"/>
    <col min="7" max="7" width="9.140625" style="479"/>
    <col min="8" max="8" width="21.28515625" style="479" customWidth="1"/>
    <col min="9" max="16384" width="9.140625" style="479"/>
  </cols>
  <sheetData>
    <row r="2" spans="2:6" ht="33.75" customHeight="1">
      <c r="B2" s="881" t="s">
        <v>1171</v>
      </c>
      <c r="C2" s="882"/>
      <c r="D2" s="882"/>
      <c r="E2" s="883"/>
    </row>
    <row r="3" spans="2:6" ht="33.75" customHeight="1">
      <c r="B3" s="884" t="s">
        <v>112</v>
      </c>
      <c r="C3" s="884"/>
      <c r="D3" s="884"/>
      <c r="E3" s="884"/>
      <c r="F3" s="480"/>
    </row>
    <row r="4" spans="2:6" ht="35.25" customHeight="1">
      <c r="B4" s="481" t="s">
        <v>56</v>
      </c>
      <c r="C4" s="481" t="s">
        <v>62</v>
      </c>
      <c r="D4" s="482" t="s">
        <v>63</v>
      </c>
      <c r="E4" s="483" t="s">
        <v>64</v>
      </c>
      <c r="F4" s="480"/>
    </row>
    <row r="5" spans="2:6" ht="31.5" customHeight="1">
      <c r="B5" s="484">
        <v>1</v>
      </c>
      <c r="C5" s="485" t="s">
        <v>65</v>
      </c>
      <c r="D5" s="486"/>
      <c r="E5" s="487"/>
      <c r="F5" s="480"/>
    </row>
    <row r="6" spans="2:6" ht="30.75" customHeight="1">
      <c r="B6" s="488" t="s">
        <v>6</v>
      </c>
      <c r="C6" s="489" t="s">
        <v>113</v>
      </c>
      <c r="D6" s="490"/>
      <c r="E6" s="491"/>
      <c r="F6" s="480"/>
    </row>
    <row r="7" spans="2:6" ht="27" customHeight="1">
      <c r="B7" s="488" t="s">
        <v>7</v>
      </c>
      <c r="C7" s="489" t="s">
        <v>114</v>
      </c>
      <c r="D7" s="490"/>
      <c r="E7" s="492"/>
      <c r="F7" s="480"/>
    </row>
    <row r="8" spans="2:6" ht="27" customHeight="1">
      <c r="B8" s="488"/>
      <c r="C8" s="493" t="s">
        <v>1130</v>
      </c>
      <c r="D8" s="494"/>
      <c r="E8" s="492"/>
      <c r="F8" s="480"/>
    </row>
    <row r="9" spans="2:6" ht="27.75" customHeight="1">
      <c r="B9" s="488" t="s">
        <v>8</v>
      </c>
      <c r="C9" s="489" t="s">
        <v>66</v>
      </c>
      <c r="D9" s="495">
        <v>0.2</v>
      </c>
      <c r="E9" s="496">
        <f>D9*D8</f>
        <v>0</v>
      </c>
      <c r="F9" s="480"/>
    </row>
    <row r="10" spans="2:6" ht="29.25" customHeight="1">
      <c r="B10" s="488" t="s">
        <v>9</v>
      </c>
      <c r="C10" s="489" t="s">
        <v>67</v>
      </c>
      <c r="D10" s="490"/>
      <c r="E10" s="492"/>
      <c r="F10" s="480"/>
    </row>
    <row r="11" spans="2:6" ht="29.25" customHeight="1">
      <c r="B11" s="488" t="s">
        <v>10</v>
      </c>
      <c r="C11" s="489" t="s">
        <v>68</v>
      </c>
      <c r="D11" s="490"/>
      <c r="E11" s="492"/>
      <c r="F11" s="480"/>
    </row>
    <row r="12" spans="2:6" ht="30.75" customHeight="1">
      <c r="B12" s="488" t="s">
        <v>11</v>
      </c>
      <c r="C12" s="489" t="s">
        <v>69</v>
      </c>
      <c r="D12" s="490"/>
      <c r="E12" s="492"/>
      <c r="F12" s="480"/>
    </row>
    <row r="13" spans="2:6" ht="33" customHeight="1">
      <c r="B13" s="885" t="s">
        <v>115</v>
      </c>
      <c r="C13" s="886"/>
      <c r="D13" s="497"/>
      <c r="E13" s="498">
        <f>SUM(E6:E12)</f>
        <v>0</v>
      </c>
      <c r="F13" s="480"/>
    </row>
    <row r="14" spans="2:6" ht="33" customHeight="1">
      <c r="B14" s="488"/>
      <c r="C14" s="499" t="s">
        <v>116</v>
      </c>
      <c r="D14" s="490"/>
      <c r="E14" s="492"/>
      <c r="F14" s="480"/>
    </row>
    <row r="15" spans="2:6" ht="31.5" customHeight="1">
      <c r="B15" s="488" t="s">
        <v>12</v>
      </c>
      <c r="C15" s="500" t="s">
        <v>117</v>
      </c>
      <c r="D15" s="490"/>
      <c r="E15" s="501"/>
      <c r="F15" s="480"/>
    </row>
    <row r="16" spans="2:6" ht="31.5" customHeight="1">
      <c r="B16" s="488" t="s">
        <v>13</v>
      </c>
      <c r="C16" s="502" t="s">
        <v>1131</v>
      </c>
      <c r="D16" s="490"/>
      <c r="E16" s="501"/>
      <c r="F16" s="480"/>
    </row>
    <row r="17" spans="2:8" ht="33.75" customHeight="1">
      <c r="B17" s="484">
        <v>1</v>
      </c>
      <c r="C17" s="503" t="s">
        <v>118</v>
      </c>
      <c r="D17" s="504"/>
      <c r="E17" s="505">
        <f>E13+E15</f>
        <v>0</v>
      </c>
      <c r="F17" s="480"/>
    </row>
    <row r="18" spans="2:8" ht="33.75" customHeight="1">
      <c r="B18" s="484">
        <v>2</v>
      </c>
      <c r="C18" s="485" t="s">
        <v>119</v>
      </c>
      <c r="D18" s="486"/>
      <c r="E18" s="487"/>
      <c r="F18" s="480"/>
    </row>
    <row r="19" spans="2:8" ht="33.75" customHeight="1">
      <c r="B19" s="497"/>
      <c r="C19" s="506" t="s">
        <v>120</v>
      </c>
      <c r="D19" s="507"/>
      <c r="E19" s="508"/>
      <c r="F19" s="480"/>
    </row>
    <row r="20" spans="2:8" ht="33.75" customHeight="1">
      <c r="B20" s="509" t="s">
        <v>6</v>
      </c>
      <c r="C20" s="510" t="s">
        <v>70</v>
      </c>
      <c r="D20" s="511"/>
      <c r="E20" s="512"/>
      <c r="F20" s="480"/>
    </row>
    <row r="21" spans="2:8" ht="33.75" customHeight="1">
      <c r="B21" s="509" t="s">
        <v>7</v>
      </c>
      <c r="C21" s="510" t="s">
        <v>121</v>
      </c>
      <c r="D21" s="511"/>
      <c r="E21" s="513"/>
      <c r="F21" s="480"/>
      <c r="H21" s="514">
        <f>-0.06*E6</f>
        <v>0</v>
      </c>
    </row>
    <row r="22" spans="2:8" ht="33.75" customHeight="1">
      <c r="B22" s="509" t="s">
        <v>8</v>
      </c>
      <c r="C22" s="510" t="s">
        <v>122</v>
      </c>
      <c r="D22" s="511"/>
      <c r="E22" s="512"/>
      <c r="F22" s="480"/>
    </row>
    <row r="23" spans="2:8" ht="33.75" customHeight="1">
      <c r="B23" s="509" t="s">
        <v>9</v>
      </c>
      <c r="C23" s="16" t="s">
        <v>1144</v>
      </c>
      <c r="D23" s="511"/>
      <c r="E23" s="515"/>
      <c r="F23" s="480"/>
    </row>
    <row r="24" spans="2:8" ht="33.75" customHeight="1">
      <c r="B24" s="509" t="s">
        <v>10</v>
      </c>
      <c r="C24" s="16" t="s">
        <v>1132</v>
      </c>
      <c r="D24" s="511"/>
      <c r="E24" s="515"/>
      <c r="F24" s="480"/>
    </row>
    <row r="25" spans="2:8" ht="33.75" customHeight="1">
      <c r="B25" s="509" t="s">
        <v>11</v>
      </c>
      <c r="C25" s="16" t="s">
        <v>1133</v>
      </c>
      <c r="D25" s="511"/>
      <c r="E25" s="515"/>
      <c r="F25" s="480"/>
    </row>
    <row r="26" spans="2:8" ht="33.75" customHeight="1">
      <c r="B26" s="509" t="s">
        <v>12</v>
      </c>
      <c r="C26" s="16" t="s">
        <v>111</v>
      </c>
      <c r="D26" s="511"/>
      <c r="E26" s="515"/>
      <c r="F26" s="480"/>
    </row>
    <row r="27" spans="2:8" ht="33.75" customHeight="1">
      <c r="B27" s="516"/>
      <c r="C27" s="517" t="s">
        <v>123</v>
      </c>
      <c r="D27" s="518"/>
      <c r="E27" s="519">
        <f>SUM(E20:E26)</f>
        <v>0</v>
      </c>
      <c r="F27" s="480"/>
    </row>
    <row r="28" spans="2:8" ht="33.75" customHeight="1">
      <c r="B28" s="520"/>
      <c r="C28" s="506" t="s">
        <v>124</v>
      </c>
      <c r="D28" s="521"/>
      <c r="E28" s="522"/>
      <c r="F28" s="480"/>
    </row>
    <row r="29" spans="2:8" ht="33.75" customHeight="1">
      <c r="B29" s="509" t="s">
        <v>6</v>
      </c>
      <c r="C29" s="510" t="s">
        <v>125</v>
      </c>
      <c r="D29" s="511"/>
      <c r="E29" s="512">
        <f>D29*E$13</f>
        <v>0</v>
      </c>
      <c r="F29" s="480"/>
    </row>
    <row r="30" spans="2:8" ht="51.75" customHeight="1">
      <c r="B30" s="509" t="s">
        <v>7</v>
      </c>
      <c r="C30" s="510" t="s">
        <v>1134</v>
      </c>
      <c r="D30" s="523"/>
      <c r="E30" s="512">
        <f t="shared" ref="E30:E36" si="0">D30*E$13</f>
        <v>0</v>
      </c>
      <c r="F30" s="480"/>
    </row>
    <row r="31" spans="2:8" ht="51" customHeight="1">
      <c r="B31" s="509" t="s">
        <v>8</v>
      </c>
      <c r="C31" s="524" t="s">
        <v>196</v>
      </c>
      <c r="D31" s="523"/>
      <c r="E31" s="512">
        <f t="shared" si="0"/>
        <v>0</v>
      </c>
      <c r="F31" s="480"/>
    </row>
    <row r="32" spans="2:8" ht="33.75" customHeight="1">
      <c r="B32" s="509" t="s">
        <v>9</v>
      </c>
      <c r="C32" s="510" t="s">
        <v>126</v>
      </c>
      <c r="D32" s="523"/>
      <c r="E32" s="512">
        <f t="shared" si="0"/>
        <v>0</v>
      </c>
      <c r="F32" s="480"/>
    </row>
    <row r="33" spans="2:6" ht="33.75" customHeight="1">
      <c r="B33" s="509" t="s">
        <v>10</v>
      </c>
      <c r="C33" s="510" t="s">
        <v>127</v>
      </c>
      <c r="D33" s="523"/>
      <c r="E33" s="512">
        <f t="shared" si="0"/>
        <v>0</v>
      </c>
      <c r="F33" s="480"/>
    </row>
    <row r="34" spans="2:6" ht="33.75" customHeight="1">
      <c r="B34" s="525" t="s">
        <v>11</v>
      </c>
      <c r="C34" s="526" t="s">
        <v>128</v>
      </c>
      <c r="D34" s="527"/>
      <c r="E34" s="512">
        <f t="shared" si="0"/>
        <v>0</v>
      </c>
      <c r="F34" s="480"/>
    </row>
    <row r="35" spans="2:6" ht="33.75" customHeight="1">
      <c r="B35" s="509" t="s">
        <v>12</v>
      </c>
      <c r="C35" s="510" t="s">
        <v>197</v>
      </c>
      <c r="D35" s="523"/>
      <c r="E35" s="512">
        <f t="shared" si="0"/>
        <v>0</v>
      </c>
      <c r="F35" s="480"/>
    </row>
    <row r="36" spans="2:6" ht="33.75" customHeight="1">
      <c r="B36" s="509" t="s">
        <v>13</v>
      </c>
      <c r="C36" s="510" t="s">
        <v>129</v>
      </c>
      <c r="D36" s="527"/>
      <c r="E36" s="512">
        <f t="shared" si="0"/>
        <v>0</v>
      </c>
      <c r="F36" s="480"/>
    </row>
    <row r="37" spans="2:6" ht="33.75" customHeight="1">
      <c r="B37" s="528"/>
      <c r="C37" s="517" t="s">
        <v>130</v>
      </c>
      <c r="D37" s="518"/>
      <c r="E37" s="519">
        <f>SUM(E29:E36)</f>
        <v>0</v>
      </c>
      <c r="F37" s="480"/>
    </row>
    <row r="38" spans="2:6" ht="33.75" customHeight="1">
      <c r="B38" s="520"/>
      <c r="C38" s="506" t="s">
        <v>131</v>
      </c>
      <c r="D38" s="521"/>
      <c r="E38" s="529"/>
      <c r="F38" s="480"/>
    </row>
    <row r="39" spans="2:6" ht="33.75" customHeight="1">
      <c r="B39" s="488" t="s">
        <v>6</v>
      </c>
      <c r="C39" s="530" t="s">
        <v>76</v>
      </c>
      <c r="D39" s="490"/>
      <c r="E39" s="492">
        <f>D39*E$13</f>
        <v>0</v>
      </c>
      <c r="F39" s="480"/>
    </row>
    <row r="40" spans="2:6" ht="33.75" customHeight="1" thickBot="1">
      <c r="B40" s="531" t="s">
        <v>7</v>
      </c>
      <c r="C40" s="532" t="s">
        <v>77</v>
      </c>
      <c r="D40" s="533"/>
      <c r="E40" s="492">
        <f>D40*E$13</f>
        <v>0</v>
      </c>
      <c r="F40" s="480"/>
    </row>
    <row r="41" spans="2:6" ht="33.75" customHeight="1" thickBot="1">
      <c r="B41" s="534" t="s">
        <v>8</v>
      </c>
      <c r="C41" s="535" t="s">
        <v>132</v>
      </c>
      <c r="D41" s="536"/>
      <c r="E41" s="537">
        <f>D41*E$13</f>
        <v>0</v>
      </c>
      <c r="F41" s="480"/>
    </row>
    <row r="42" spans="2:6" ht="33.75" customHeight="1">
      <c r="B42" s="80" t="s">
        <v>9</v>
      </c>
      <c r="C42" s="81" t="s">
        <v>133</v>
      </c>
      <c r="D42" s="82"/>
      <c r="E42" s="538">
        <f>D42*E$13</f>
        <v>0</v>
      </c>
      <c r="F42" s="480"/>
    </row>
    <row r="43" spans="2:6" ht="31.5" customHeight="1">
      <c r="B43" s="528"/>
      <c r="C43" s="517" t="s">
        <v>134</v>
      </c>
      <c r="D43" s="518"/>
      <c r="E43" s="519">
        <f>SUM(E39:E42)</f>
        <v>0</v>
      </c>
      <c r="F43" s="480"/>
    </row>
    <row r="44" spans="2:6" ht="33.75" customHeight="1">
      <c r="B44" s="528"/>
      <c r="C44" s="516" t="s">
        <v>135</v>
      </c>
      <c r="D44" s="521"/>
      <c r="E44" s="522"/>
      <c r="F44" s="480"/>
    </row>
    <row r="45" spans="2:6" ht="33.75" customHeight="1" thickBot="1">
      <c r="B45" s="539" t="s">
        <v>6</v>
      </c>
      <c r="C45" s="540" t="s">
        <v>136</v>
      </c>
      <c r="D45" s="541"/>
      <c r="E45" s="542">
        <f>D45*E$13</f>
        <v>0</v>
      </c>
      <c r="F45" s="480"/>
    </row>
    <row r="46" spans="2:6" ht="33" customHeight="1" thickBot="1">
      <c r="B46" s="543" t="s">
        <v>7</v>
      </c>
      <c r="C46" s="544" t="s">
        <v>137</v>
      </c>
      <c r="D46" s="545"/>
      <c r="E46" s="546">
        <f>D46*E$13</f>
        <v>0</v>
      </c>
      <c r="F46" s="480"/>
    </row>
    <row r="47" spans="2:6" ht="34.5" customHeight="1">
      <c r="B47" s="547"/>
      <c r="C47" s="548" t="s">
        <v>138</v>
      </c>
      <c r="D47" s="549"/>
      <c r="E47" s="550">
        <f>E45+E46</f>
        <v>0</v>
      </c>
      <c r="F47" s="480"/>
    </row>
    <row r="48" spans="2:6" ht="39.75" customHeight="1">
      <c r="B48" s="484">
        <v>2</v>
      </c>
      <c r="C48" s="503" t="s">
        <v>139</v>
      </c>
      <c r="D48" s="504"/>
      <c r="E48" s="505">
        <f>E27+E37+E43+E47</f>
        <v>0</v>
      </c>
      <c r="F48" s="480"/>
    </row>
    <row r="49" spans="2:6" ht="33" customHeight="1">
      <c r="B49" s="484">
        <v>3</v>
      </c>
      <c r="C49" s="485" t="s">
        <v>140</v>
      </c>
      <c r="D49" s="486"/>
      <c r="E49" s="487"/>
      <c r="F49" s="480"/>
    </row>
    <row r="50" spans="2:6" ht="39" customHeight="1">
      <c r="B50" s="531" t="s">
        <v>6</v>
      </c>
      <c r="C50" s="532" t="s">
        <v>78</v>
      </c>
      <c r="D50" s="533"/>
      <c r="E50" s="551">
        <f>D50*E$13</f>
        <v>0</v>
      </c>
      <c r="F50" s="480"/>
    </row>
    <row r="51" spans="2:6" ht="39" customHeight="1" thickBot="1">
      <c r="B51" s="552" t="s">
        <v>7</v>
      </c>
      <c r="C51" s="553" t="s">
        <v>1135</v>
      </c>
      <c r="D51" s="533"/>
      <c r="E51" s="551">
        <f>D51*E$13</f>
        <v>0</v>
      </c>
      <c r="F51" s="480"/>
    </row>
    <row r="52" spans="2:6" ht="35.25" customHeight="1" thickBot="1">
      <c r="B52" s="534" t="s">
        <v>8</v>
      </c>
      <c r="C52" s="554" t="s">
        <v>205</v>
      </c>
      <c r="D52" s="555"/>
      <c r="E52" s="537">
        <f>D52*E$13</f>
        <v>0</v>
      </c>
      <c r="F52" s="480"/>
    </row>
    <row r="53" spans="2:6" ht="31.5" customHeight="1">
      <c r="B53" s="556" t="s">
        <v>9</v>
      </c>
      <c r="C53" s="557" t="s">
        <v>204</v>
      </c>
      <c r="D53" s="558"/>
      <c r="E53" s="538">
        <f>D53*E$13</f>
        <v>0</v>
      </c>
      <c r="F53" s="480"/>
    </row>
    <row r="54" spans="2:6" ht="31.5" customHeight="1">
      <c r="B54" s="488" t="s">
        <v>10</v>
      </c>
      <c r="C54" s="489" t="s">
        <v>79</v>
      </c>
      <c r="D54" s="533"/>
      <c r="E54" s="538">
        <f t="shared" ref="E54:E55" si="1">D54*E$13</f>
        <v>0</v>
      </c>
      <c r="F54" s="480"/>
    </row>
    <row r="55" spans="2:6" ht="29.25" customHeight="1">
      <c r="B55" s="509" t="s">
        <v>11</v>
      </c>
      <c r="C55" s="510" t="s">
        <v>80</v>
      </c>
      <c r="D55" s="533"/>
      <c r="E55" s="538">
        <f t="shared" si="1"/>
        <v>0</v>
      </c>
      <c r="F55" s="480"/>
    </row>
    <row r="56" spans="2:6" ht="32.25" customHeight="1">
      <c r="B56" s="484">
        <v>3</v>
      </c>
      <c r="C56" s="559" t="s">
        <v>141</v>
      </c>
      <c r="D56" s="560"/>
      <c r="E56" s="561">
        <f>SUM(E50:E55)</f>
        <v>0</v>
      </c>
      <c r="F56" s="480"/>
    </row>
    <row r="57" spans="2:6" ht="33" customHeight="1">
      <c r="B57" s="484">
        <v>4</v>
      </c>
      <c r="C57" s="485" t="s">
        <v>142</v>
      </c>
      <c r="D57" s="486"/>
      <c r="E57" s="487"/>
      <c r="F57" s="480"/>
    </row>
    <row r="58" spans="2:6" ht="33" customHeight="1">
      <c r="B58" s="509" t="s">
        <v>6</v>
      </c>
      <c r="C58" s="553" t="s">
        <v>81</v>
      </c>
      <c r="D58" s="511"/>
      <c r="E58" s="512">
        <f>D58*E$13</f>
        <v>0</v>
      </c>
      <c r="F58" s="480"/>
    </row>
    <row r="59" spans="2:6" ht="30.75" customHeight="1">
      <c r="B59" s="509" t="s">
        <v>7</v>
      </c>
      <c r="C59" s="562" t="s">
        <v>143</v>
      </c>
      <c r="D59" s="511"/>
      <c r="E59" s="512">
        <f t="shared" ref="E59:E61" si="2">D59*E$13</f>
        <v>0</v>
      </c>
      <c r="F59" s="480"/>
    </row>
    <row r="60" spans="2:6" ht="35.25" customHeight="1">
      <c r="B60" s="509" t="s">
        <v>8</v>
      </c>
      <c r="C60" s="562" t="s">
        <v>144</v>
      </c>
      <c r="D60" s="511"/>
      <c r="E60" s="512">
        <f t="shared" si="2"/>
        <v>0</v>
      </c>
      <c r="F60" s="480"/>
    </row>
    <row r="61" spans="2:6" ht="29.25" customHeight="1" thickBot="1">
      <c r="B61" s="539" t="s">
        <v>9</v>
      </c>
      <c r="C61" s="563" t="s">
        <v>83</v>
      </c>
      <c r="D61" s="541"/>
      <c r="E61" s="512">
        <f t="shared" si="2"/>
        <v>0</v>
      </c>
      <c r="F61" s="564"/>
    </row>
    <row r="62" spans="2:6" ht="36" customHeight="1" thickBot="1">
      <c r="B62" s="543" t="s">
        <v>10</v>
      </c>
      <c r="C62" s="565" t="s">
        <v>191</v>
      </c>
      <c r="D62" s="536"/>
      <c r="E62" s="546">
        <f>D62*E$13</f>
        <v>0</v>
      </c>
      <c r="F62" s="480"/>
    </row>
    <row r="63" spans="2:6" ht="39" customHeight="1">
      <c r="B63" s="566" t="s">
        <v>11</v>
      </c>
      <c r="C63" s="567" t="s">
        <v>198</v>
      </c>
      <c r="D63" s="568"/>
      <c r="E63" s="569">
        <f>D63*E$13</f>
        <v>0</v>
      </c>
      <c r="F63" s="570"/>
    </row>
    <row r="64" spans="2:6" ht="38.25" customHeight="1" thickBot="1">
      <c r="B64" s="539" t="s">
        <v>12</v>
      </c>
      <c r="C64" s="571" t="s">
        <v>193</v>
      </c>
      <c r="D64" s="541"/>
      <c r="E64" s="542">
        <f>D64*E$13</f>
        <v>0</v>
      </c>
      <c r="F64" s="480"/>
    </row>
    <row r="65" spans="2:8" ht="37.5" customHeight="1" thickBot="1">
      <c r="B65" s="543" t="s">
        <v>13</v>
      </c>
      <c r="C65" s="565" t="s">
        <v>199</v>
      </c>
      <c r="D65" s="545"/>
      <c r="E65" s="546">
        <f>D65*E$13</f>
        <v>0</v>
      </c>
      <c r="F65" s="480"/>
    </row>
    <row r="66" spans="2:8" ht="36" customHeight="1">
      <c r="B66" s="572">
        <v>4</v>
      </c>
      <c r="C66" s="573" t="s">
        <v>145</v>
      </c>
      <c r="D66" s="574"/>
      <c r="E66" s="575">
        <f>SUM(E58:E65)</f>
        <v>0</v>
      </c>
      <c r="F66" s="480"/>
    </row>
    <row r="67" spans="2:8" ht="36" customHeight="1">
      <c r="B67" s="887" t="s">
        <v>200</v>
      </c>
      <c r="C67" s="888"/>
      <c r="D67" s="576"/>
      <c r="E67" s="577">
        <f>E37+E43+E47+E56+E66</f>
        <v>0</v>
      </c>
      <c r="F67" s="480"/>
      <c r="H67" s="578">
        <f>D67*E13</f>
        <v>0</v>
      </c>
    </row>
    <row r="68" spans="2:8" ht="36.75" customHeight="1">
      <c r="B68" s="484">
        <v>5</v>
      </c>
      <c r="C68" s="485" t="s">
        <v>146</v>
      </c>
      <c r="D68" s="486"/>
      <c r="E68" s="487"/>
      <c r="F68" s="480"/>
    </row>
    <row r="69" spans="2:8" ht="32.25" customHeight="1">
      <c r="B69" s="509" t="s">
        <v>6</v>
      </c>
      <c r="C69" s="510" t="s">
        <v>71</v>
      </c>
      <c r="D69" s="511"/>
      <c r="E69" s="17"/>
      <c r="F69" s="480"/>
    </row>
    <row r="70" spans="2:8" ht="28.5" customHeight="1">
      <c r="B70" s="509" t="s">
        <v>7</v>
      </c>
      <c r="C70" s="510" t="s">
        <v>147</v>
      </c>
      <c r="D70" s="579"/>
      <c r="E70" s="580"/>
      <c r="F70" s="480"/>
    </row>
    <row r="71" spans="2:8" ht="30" customHeight="1">
      <c r="B71" s="509" t="s">
        <v>8</v>
      </c>
      <c r="C71" s="510" t="s">
        <v>148</v>
      </c>
      <c r="D71" s="579"/>
      <c r="E71" s="512"/>
      <c r="F71" s="480"/>
    </row>
    <row r="72" spans="2:8" ht="32.25" customHeight="1">
      <c r="B72" s="484">
        <v>5</v>
      </c>
      <c r="C72" s="503" t="s">
        <v>149</v>
      </c>
      <c r="D72" s="504"/>
      <c r="E72" s="83">
        <f>SUM(E69:E71)</f>
        <v>0</v>
      </c>
      <c r="F72" s="480"/>
    </row>
    <row r="73" spans="2:8" ht="33" customHeight="1">
      <c r="B73" s="889" t="s">
        <v>1163</v>
      </c>
      <c r="C73" s="890"/>
      <c r="D73" s="581"/>
      <c r="E73" s="582">
        <f>ROUND((E17+E48+E56+E66+E72),2)</f>
        <v>0</v>
      </c>
      <c r="F73" s="480"/>
      <c r="H73" s="578">
        <f>ROUND((E72+H67+E17+E27),2)</f>
        <v>0</v>
      </c>
    </row>
    <row r="74" spans="2:8" ht="33" customHeight="1">
      <c r="B74" s="583" t="s">
        <v>1136</v>
      </c>
      <c r="C74" s="584"/>
      <c r="D74" s="584"/>
      <c r="E74" s="585"/>
      <c r="F74" s="480"/>
    </row>
    <row r="75" spans="2:8" ht="39" customHeight="1">
      <c r="B75" s="586" t="s">
        <v>1137</v>
      </c>
      <c r="C75" s="880" t="s">
        <v>707</v>
      </c>
      <c r="D75" s="880"/>
      <c r="E75" s="880"/>
      <c r="F75" s="480"/>
    </row>
    <row r="76" spans="2:8" ht="68.25" customHeight="1">
      <c r="B76" s="586" t="s">
        <v>1138</v>
      </c>
      <c r="C76" s="878" t="s">
        <v>1142</v>
      </c>
      <c r="D76" s="878"/>
      <c r="E76" s="878"/>
      <c r="F76" s="480"/>
    </row>
    <row r="77" spans="2:8" ht="74.25" customHeight="1">
      <c r="B77" s="586" t="s">
        <v>1139</v>
      </c>
      <c r="C77" s="878" t="s">
        <v>1203</v>
      </c>
      <c r="D77" s="878"/>
      <c r="E77" s="878"/>
      <c r="F77" s="480"/>
    </row>
    <row r="78" spans="2:8" ht="69.75" customHeight="1">
      <c r="B78" s="586" t="s">
        <v>1140</v>
      </c>
      <c r="C78" s="878" t="s">
        <v>1149</v>
      </c>
      <c r="D78" s="878"/>
      <c r="E78" s="878"/>
      <c r="F78" s="480"/>
    </row>
    <row r="79" spans="2:8" ht="67.5" customHeight="1">
      <c r="B79" s="586" t="s">
        <v>1145</v>
      </c>
      <c r="C79" s="878" t="s">
        <v>1146</v>
      </c>
      <c r="D79" s="878"/>
      <c r="E79" s="878"/>
      <c r="F79" s="480"/>
    </row>
    <row r="80" spans="2:8" ht="67.5" customHeight="1">
      <c r="B80" s="586" t="s">
        <v>1148</v>
      </c>
      <c r="C80" s="878" t="s">
        <v>1147</v>
      </c>
      <c r="D80" s="878"/>
      <c r="E80" s="878"/>
      <c r="F80" s="480"/>
    </row>
    <row r="81" spans="2:6" ht="63.75" customHeight="1">
      <c r="B81" s="586" t="s">
        <v>1151</v>
      </c>
      <c r="C81" s="879" t="s">
        <v>1150</v>
      </c>
      <c r="D81" s="879"/>
      <c r="E81" s="879"/>
      <c r="F81" s="480"/>
    </row>
    <row r="82" spans="2:6" ht="65.25" customHeight="1">
      <c r="B82" s="586" t="s">
        <v>1152</v>
      </c>
      <c r="C82" s="878" t="s">
        <v>1153</v>
      </c>
      <c r="D82" s="878"/>
      <c r="E82" s="878"/>
      <c r="F82" s="480"/>
    </row>
    <row r="83" spans="2:6" ht="68.25" customHeight="1">
      <c r="B83" s="586" t="s">
        <v>1154</v>
      </c>
      <c r="C83" s="878" t="s">
        <v>1162</v>
      </c>
      <c r="D83" s="878"/>
      <c r="E83" s="878"/>
    </row>
  </sheetData>
  <mergeCells count="14">
    <mergeCell ref="C75:E75"/>
    <mergeCell ref="B2:E2"/>
    <mergeCell ref="B3:E3"/>
    <mergeCell ref="B13:C13"/>
    <mergeCell ref="B67:C67"/>
    <mergeCell ref="B73:C73"/>
    <mergeCell ref="C82:E82"/>
    <mergeCell ref="C83:E83"/>
    <mergeCell ref="C76:E76"/>
    <mergeCell ref="C77:E77"/>
    <mergeCell ref="C78:E78"/>
    <mergeCell ref="C79:E79"/>
    <mergeCell ref="C80:E80"/>
    <mergeCell ref="C81:E81"/>
  </mergeCells>
  <printOptions horizontalCentered="1" verticalCentered="1"/>
  <pageMargins left="0.39370078740157483" right="0.39370078740157483" top="0.39370078740157483" bottom="0.39370078740157483" header="0" footer="0"/>
  <pageSetup paperSize="9" scale="30" orientation="portrait" r:id="rId1"/>
  <colBreaks count="1" manualBreakCount="1">
    <brk id="5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A1DDA-D87C-41C3-9BFA-00E150353333}">
  <sheetPr>
    <tabColor theme="1"/>
    <pageSetUpPr fitToPage="1"/>
  </sheetPr>
  <dimension ref="B2:IM40"/>
  <sheetViews>
    <sheetView showGridLines="0" zoomScale="90" zoomScaleNormal="90" zoomScaleSheetLayoutView="90" workbookViewId="0">
      <selection activeCell="B3" sqref="B3:G27"/>
    </sheetView>
  </sheetViews>
  <sheetFormatPr defaultColWidth="9.7109375" defaultRowHeight="15.75"/>
  <cols>
    <col min="1" max="1" width="9.7109375" style="15"/>
    <col min="2" max="2" width="19.140625" style="14" customWidth="1"/>
    <col min="3" max="3" width="55.7109375" style="14" customWidth="1"/>
    <col min="4" max="4" width="22.42578125" style="14" customWidth="1"/>
    <col min="5" max="5" width="17.140625" style="14" bestFit="1" customWidth="1"/>
    <col min="6" max="6" width="20.42578125" style="14" customWidth="1"/>
    <col min="7" max="7" width="36.5703125" style="14" customWidth="1"/>
    <col min="8" max="8" width="33" style="150" bestFit="1" customWidth="1"/>
    <col min="9" max="9" width="30.140625" style="150" bestFit="1" customWidth="1"/>
    <col min="10" max="10" width="24.140625" style="151" customWidth="1"/>
    <col min="11" max="11" width="16.85546875" style="150" customWidth="1"/>
    <col min="12" max="12" width="17.140625" style="150" customWidth="1"/>
    <col min="13" max="240" width="9.7109375" style="14"/>
    <col min="241" max="16384" width="9.7109375" style="15"/>
  </cols>
  <sheetData>
    <row r="2" spans="2:247" s="14" customFormat="1">
      <c r="H2" s="150"/>
      <c r="I2" s="150"/>
      <c r="J2" s="151"/>
      <c r="K2" s="150"/>
      <c r="L2" s="150"/>
      <c r="IG2" s="15"/>
      <c r="IH2" s="15"/>
      <c r="II2" s="15"/>
      <c r="IJ2" s="15"/>
      <c r="IK2" s="15"/>
      <c r="IL2" s="15"/>
      <c r="IM2" s="15"/>
    </row>
    <row r="3" spans="2:247" ht="32.25" customHeight="1">
      <c r="B3" s="919" t="s">
        <v>629</v>
      </c>
      <c r="C3" s="920"/>
      <c r="D3" s="920"/>
      <c r="E3" s="920"/>
      <c r="F3" s="920"/>
      <c r="G3" s="921"/>
      <c r="IF3" s="15"/>
    </row>
    <row r="4" spans="2:247" s="14" customFormat="1" ht="33" customHeight="1">
      <c r="B4" s="922" t="s">
        <v>1204</v>
      </c>
      <c r="C4" s="923"/>
      <c r="D4" s="923"/>
      <c r="E4" s="923"/>
      <c r="F4" s="923"/>
      <c r="G4" s="924"/>
      <c r="H4" s="150"/>
      <c r="I4" s="150"/>
      <c r="J4" s="151"/>
      <c r="K4" s="925" t="s">
        <v>628</v>
      </c>
      <c r="L4" s="925"/>
      <c r="IF4" s="15"/>
      <c r="IG4" s="15"/>
      <c r="IH4" s="15"/>
      <c r="II4" s="15"/>
      <c r="IJ4" s="15"/>
      <c r="IK4" s="15"/>
      <c r="IL4" s="15"/>
    </row>
    <row r="5" spans="2:247" s="14" customFormat="1" ht="33.75" customHeight="1">
      <c r="B5" s="922" t="s">
        <v>627</v>
      </c>
      <c r="C5" s="923"/>
      <c r="D5" s="923"/>
      <c r="E5" s="923"/>
      <c r="F5" s="923"/>
      <c r="G5" s="924"/>
      <c r="H5" s="150"/>
      <c r="I5" s="150"/>
      <c r="J5" s="151"/>
      <c r="K5" s="925"/>
      <c r="L5" s="925"/>
      <c r="IF5" s="15"/>
      <c r="IG5" s="15"/>
      <c r="IH5" s="15"/>
      <c r="II5" s="15"/>
      <c r="IJ5" s="15"/>
      <c r="IK5" s="15"/>
      <c r="IL5" s="15"/>
    </row>
    <row r="6" spans="2:247" s="14" customFormat="1" ht="40.5" customHeight="1">
      <c r="B6" s="926" t="s">
        <v>105</v>
      </c>
      <c r="C6" s="927"/>
      <c r="D6" s="189" t="s">
        <v>57</v>
      </c>
      <c r="E6" s="189" t="s">
        <v>626</v>
      </c>
      <c r="F6" s="190" t="s">
        <v>106</v>
      </c>
      <c r="G6" s="189" t="s">
        <v>625</v>
      </c>
      <c r="H6" s="188" t="s">
        <v>624</v>
      </c>
      <c r="I6" s="187" t="s">
        <v>623</v>
      </c>
      <c r="J6" s="186" t="s">
        <v>104</v>
      </c>
      <c r="K6" s="185" t="s">
        <v>622</v>
      </c>
      <c r="L6" s="185" t="s">
        <v>621</v>
      </c>
      <c r="IF6" s="15"/>
      <c r="IG6" s="15"/>
      <c r="IH6" s="15"/>
      <c r="II6" s="15"/>
      <c r="IJ6" s="15"/>
      <c r="IK6" s="15"/>
      <c r="IL6" s="15"/>
    </row>
    <row r="7" spans="2:247" ht="21" customHeight="1">
      <c r="B7" s="905" t="s">
        <v>675</v>
      </c>
      <c r="C7" s="906" t="s">
        <v>1155</v>
      </c>
      <c r="D7" s="164" t="s">
        <v>5</v>
      </c>
      <c r="E7" s="184">
        <v>2</v>
      </c>
      <c r="F7" s="171"/>
      <c r="G7" s="171">
        <f>ROUND(E7*F7,2)</f>
        <v>0</v>
      </c>
      <c r="H7" s="181">
        <f>ROUND((F7+F7*E11+F7*E12+F7*E11*E12)/(1-D18),2)</f>
        <v>0</v>
      </c>
      <c r="I7" s="183">
        <f>ROUND(H7*E7,2)</f>
        <v>0</v>
      </c>
      <c r="J7" s="182" t="e">
        <f>I7/$I$9</f>
        <v>#DIV/0!</v>
      </c>
      <c r="K7" s="928">
        <f>I9</f>
        <v>0</v>
      </c>
      <c r="L7" s="928">
        <f>K7*12</f>
        <v>0</v>
      </c>
      <c r="IF7" s="15"/>
    </row>
    <row r="8" spans="2:247" ht="21" customHeight="1" thickBot="1">
      <c r="B8" s="905" t="s">
        <v>1174</v>
      </c>
      <c r="C8" s="906"/>
      <c r="D8" s="164" t="s">
        <v>5</v>
      </c>
      <c r="E8" s="184">
        <v>1</v>
      </c>
      <c r="F8" s="171"/>
      <c r="G8" s="171">
        <f>ROUND(E8*F8,2)</f>
        <v>0</v>
      </c>
      <c r="H8" s="181">
        <f>ROUND((F8+F8*E11+F8*E12+F8*E11*E12)/(1-D18),2)</f>
        <v>0</v>
      </c>
      <c r="I8" s="183">
        <f>ROUND(H8*E8,2)</f>
        <v>0</v>
      </c>
      <c r="J8" s="182" t="e">
        <f>I8/$I$9</f>
        <v>#DIV/0!</v>
      </c>
      <c r="K8" s="928"/>
      <c r="L8" s="928"/>
      <c r="IF8" s="15"/>
    </row>
    <row r="9" spans="2:247" ht="21" customHeight="1" thickBot="1">
      <c r="B9" s="930" t="s">
        <v>620</v>
      </c>
      <c r="C9" s="931"/>
      <c r="D9" s="931"/>
      <c r="E9" s="932"/>
      <c r="F9" s="178" t="s">
        <v>6</v>
      </c>
      <c r="G9" s="177">
        <f>ROUND(SUM(G7:G8),2)</f>
        <v>0</v>
      </c>
      <c r="H9" s="181"/>
      <c r="I9" s="180">
        <f>SUM(I7:I8)</f>
        <v>0</v>
      </c>
      <c r="J9" s="179" t="e">
        <f>SUM(J7:J8)</f>
        <v>#DIV/0!</v>
      </c>
      <c r="K9" s="929"/>
      <c r="L9" s="929"/>
      <c r="IF9" s="15"/>
    </row>
    <row r="10" spans="2:247" s="14" customFormat="1" ht="26.1" customHeight="1" thickBot="1">
      <c r="B10" s="933" t="s">
        <v>619</v>
      </c>
      <c r="C10" s="933"/>
      <c r="D10" s="933"/>
      <c r="E10" s="933"/>
      <c r="F10" s="933"/>
      <c r="G10" s="933"/>
      <c r="H10" s="150"/>
      <c r="I10" s="150"/>
      <c r="J10" s="151"/>
      <c r="K10" s="150"/>
      <c r="L10" s="150"/>
      <c r="IG10" s="15"/>
      <c r="IH10" s="15"/>
      <c r="II10" s="15"/>
      <c r="IJ10" s="15"/>
      <c r="IK10" s="15"/>
      <c r="IL10" s="15"/>
      <c r="IM10" s="15"/>
    </row>
    <row r="11" spans="2:247" s="14" customFormat="1" ht="17.25" customHeight="1" thickBot="1">
      <c r="B11" s="934" t="s">
        <v>618</v>
      </c>
      <c r="C11" s="935"/>
      <c r="D11" s="936"/>
      <c r="E11" s="175"/>
      <c r="F11" s="178" t="s">
        <v>7</v>
      </c>
      <c r="G11" s="177">
        <f>ROUND(E11*G9,2)</f>
        <v>0</v>
      </c>
      <c r="H11" s="150"/>
      <c r="I11" s="156"/>
      <c r="J11" s="151"/>
      <c r="K11" s="150"/>
      <c r="L11" s="150"/>
      <c r="IG11" s="15"/>
      <c r="IH11" s="15"/>
      <c r="II11" s="15"/>
      <c r="IJ11" s="15"/>
      <c r="IK11" s="15"/>
      <c r="IL11" s="15"/>
      <c r="IM11" s="15"/>
    </row>
    <row r="12" spans="2:247" s="14" customFormat="1" ht="17.25" customHeight="1" thickBot="1">
      <c r="B12" s="934" t="s">
        <v>617</v>
      </c>
      <c r="C12" s="935"/>
      <c r="D12" s="936"/>
      <c r="E12" s="175"/>
      <c r="F12" s="178" t="s">
        <v>8</v>
      </c>
      <c r="G12" s="177">
        <f>ROUND(((G9+G11)*E12),2)</f>
        <v>0</v>
      </c>
      <c r="H12" s="150"/>
      <c r="I12" s="152"/>
      <c r="J12" s="151"/>
      <c r="K12" s="150"/>
      <c r="L12" s="150"/>
      <c r="IG12" s="15"/>
      <c r="IH12" s="15"/>
      <c r="II12" s="15"/>
      <c r="IJ12" s="15"/>
      <c r="IK12" s="15"/>
      <c r="IL12" s="15"/>
      <c r="IM12" s="15"/>
    </row>
    <row r="13" spans="2:247" s="14" customFormat="1" ht="19.5" customHeight="1">
      <c r="B13" s="937" t="s">
        <v>616</v>
      </c>
      <c r="C13" s="937"/>
      <c r="D13" s="937"/>
      <c r="E13" s="937"/>
      <c r="F13" s="937"/>
      <c r="G13" s="176">
        <f>SUM(G11:G12)</f>
        <v>0</v>
      </c>
      <c r="H13" s="150"/>
      <c r="I13" s="150"/>
      <c r="J13" s="156"/>
      <c r="K13" s="150"/>
      <c r="L13" s="150"/>
      <c r="IG13" s="15"/>
      <c r="IH13" s="15"/>
      <c r="II13" s="15"/>
      <c r="IJ13" s="15"/>
      <c r="IK13" s="15"/>
      <c r="IL13" s="15"/>
      <c r="IM13" s="15"/>
    </row>
    <row r="14" spans="2:247" s="14" customFormat="1" ht="17.25" customHeight="1">
      <c r="B14" s="918" t="s">
        <v>615</v>
      </c>
      <c r="C14" s="918"/>
      <c r="D14" s="918"/>
      <c r="E14" s="918"/>
      <c r="F14" s="918"/>
      <c r="G14" s="918"/>
      <c r="H14" s="150"/>
      <c r="I14" s="150"/>
      <c r="J14" s="151"/>
      <c r="K14" s="150"/>
      <c r="L14" s="150"/>
      <c r="IG14" s="15"/>
      <c r="IH14" s="15"/>
      <c r="II14" s="15"/>
      <c r="IJ14" s="15"/>
      <c r="IK14" s="15"/>
      <c r="IL14" s="15"/>
      <c r="IM14" s="15"/>
    </row>
    <row r="15" spans="2:247" s="14" customFormat="1" ht="17.25" customHeight="1">
      <c r="B15" s="905" t="s">
        <v>84</v>
      </c>
      <c r="C15" s="906"/>
      <c r="D15" s="175"/>
      <c r="E15" s="173"/>
      <c r="F15" s="172"/>
      <c r="G15" s="171">
        <f>D15*$G$24</f>
        <v>0</v>
      </c>
      <c r="H15" s="150"/>
      <c r="I15" s="152"/>
      <c r="J15" s="151"/>
      <c r="K15" s="150"/>
      <c r="L15" s="150"/>
      <c r="IG15" s="15"/>
      <c r="IH15" s="15"/>
      <c r="II15" s="15"/>
      <c r="IJ15" s="15"/>
      <c r="IK15" s="15"/>
      <c r="IL15" s="15"/>
      <c r="IM15" s="15"/>
    </row>
    <row r="16" spans="2:247" s="14" customFormat="1" ht="17.25" customHeight="1">
      <c r="B16" s="905" t="s">
        <v>2</v>
      </c>
      <c r="C16" s="906"/>
      <c r="D16" s="175"/>
      <c r="E16" s="173"/>
      <c r="F16" s="172"/>
      <c r="G16" s="171">
        <f>D16*$G$24</f>
        <v>0</v>
      </c>
      <c r="H16" s="150"/>
      <c r="I16" s="156"/>
      <c r="J16" s="151"/>
      <c r="K16" s="150"/>
      <c r="L16" s="150"/>
      <c r="IG16" s="15"/>
      <c r="IH16" s="15"/>
      <c r="II16" s="15"/>
      <c r="IJ16" s="15"/>
      <c r="IK16" s="15"/>
      <c r="IL16" s="15"/>
      <c r="IM16" s="15"/>
    </row>
    <row r="17" spans="2:247" s="14" customFormat="1" ht="17.25" customHeight="1" thickBot="1">
      <c r="B17" s="907" t="s">
        <v>3</v>
      </c>
      <c r="C17" s="908"/>
      <c r="D17" s="174"/>
      <c r="E17" s="173"/>
      <c r="F17" s="172"/>
      <c r="G17" s="171">
        <f>D17*$G$24</f>
        <v>0</v>
      </c>
      <c r="H17" s="150"/>
      <c r="I17" s="156"/>
      <c r="J17" s="151"/>
      <c r="K17" s="150"/>
      <c r="L17" s="150"/>
      <c r="IG17" s="15"/>
      <c r="IH17" s="15"/>
      <c r="II17" s="15"/>
      <c r="IJ17" s="15"/>
      <c r="IK17" s="15"/>
      <c r="IL17" s="15"/>
      <c r="IM17" s="15"/>
    </row>
    <row r="18" spans="2:247" s="14" customFormat="1" ht="20.25" customHeight="1" thickBot="1">
      <c r="B18" s="170" t="s">
        <v>614</v>
      </c>
      <c r="C18" s="169" t="s">
        <v>107</v>
      </c>
      <c r="D18" s="168"/>
      <c r="E18" s="167"/>
      <c r="F18" s="591" t="s">
        <v>108</v>
      </c>
      <c r="G18" s="592">
        <f>ROUND(SUM(G15:G17),2)</f>
        <v>0</v>
      </c>
      <c r="H18" s="156"/>
      <c r="I18" s="150"/>
      <c r="J18" s="151"/>
      <c r="K18" s="150"/>
      <c r="L18" s="150"/>
      <c r="IG18" s="15"/>
      <c r="IH18" s="15"/>
      <c r="II18" s="15"/>
      <c r="IJ18" s="15"/>
      <c r="IK18" s="15"/>
      <c r="IL18" s="15"/>
      <c r="IM18" s="15"/>
    </row>
    <row r="19" spans="2:247" s="14" customFormat="1" ht="17.25" customHeight="1">
      <c r="B19" s="909" t="s">
        <v>613</v>
      </c>
      <c r="C19" s="910"/>
      <c r="D19" s="910"/>
      <c r="E19" s="911"/>
      <c r="F19" s="911"/>
      <c r="G19" s="911"/>
      <c r="H19" s="150"/>
      <c r="I19" s="150"/>
      <c r="J19" s="151"/>
      <c r="K19" s="150"/>
      <c r="L19" s="150"/>
      <c r="IG19" s="15"/>
      <c r="IH19" s="15"/>
      <c r="II19" s="15"/>
      <c r="IJ19" s="15"/>
      <c r="IK19" s="15"/>
      <c r="IL19" s="15"/>
      <c r="IM19" s="15"/>
    </row>
    <row r="20" spans="2:247" s="14" customFormat="1" ht="17.25" customHeight="1">
      <c r="B20" s="910" t="s">
        <v>612</v>
      </c>
      <c r="C20" s="910"/>
      <c r="D20" s="910"/>
      <c r="E20" s="910"/>
      <c r="F20" s="910"/>
      <c r="G20" s="910"/>
      <c r="H20" s="150"/>
      <c r="I20" s="150"/>
      <c r="J20" s="151"/>
      <c r="K20" s="150"/>
      <c r="L20" s="150"/>
      <c r="IG20" s="15"/>
      <c r="IH20" s="15"/>
      <c r="II20" s="15"/>
      <c r="IJ20" s="15"/>
      <c r="IK20" s="15"/>
      <c r="IL20" s="15"/>
      <c r="IM20" s="15"/>
    </row>
    <row r="21" spans="2:247" s="14" customFormat="1" ht="17.25" customHeight="1">
      <c r="B21" s="910" t="s">
        <v>611</v>
      </c>
      <c r="C21" s="910"/>
      <c r="D21" s="910"/>
      <c r="E21" s="910"/>
      <c r="F21" s="910"/>
      <c r="G21" s="910"/>
      <c r="H21" s="150"/>
      <c r="I21" s="150"/>
      <c r="J21" s="151"/>
      <c r="K21" s="150"/>
      <c r="L21" s="150"/>
      <c r="IG21" s="15"/>
      <c r="IH21" s="15"/>
      <c r="II21" s="15"/>
      <c r="IJ21" s="15"/>
      <c r="IK21" s="15"/>
      <c r="IL21" s="15"/>
      <c r="IM21" s="15"/>
    </row>
    <row r="22" spans="2:247" s="14" customFormat="1" ht="17.25" customHeight="1">
      <c r="B22" s="909" t="s">
        <v>85</v>
      </c>
      <c r="C22" s="909"/>
      <c r="D22" s="909"/>
      <c r="E22" s="909"/>
      <c r="F22" s="909"/>
      <c r="G22" s="909"/>
      <c r="H22" s="150"/>
      <c r="I22" s="150"/>
      <c r="J22" s="151"/>
      <c r="K22" s="150"/>
      <c r="L22" s="150"/>
      <c r="IG22" s="15"/>
      <c r="IH22" s="15"/>
      <c r="II22" s="15"/>
      <c r="IJ22" s="15"/>
      <c r="IK22" s="15"/>
      <c r="IL22" s="15"/>
      <c r="IM22" s="15"/>
    </row>
    <row r="23" spans="2:247" s="14" customFormat="1" ht="17.25" customHeight="1" thickBot="1">
      <c r="B23" s="912" t="s">
        <v>610</v>
      </c>
      <c r="C23" s="912"/>
      <c r="D23" s="912"/>
      <c r="E23" s="912"/>
      <c r="F23" s="912"/>
      <c r="G23" s="912"/>
      <c r="H23" s="156"/>
      <c r="I23" s="150"/>
      <c r="J23" s="151"/>
      <c r="K23" s="150"/>
      <c r="L23" s="150"/>
      <c r="IG23" s="15"/>
      <c r="IH23" s="15"/>
      <c r="II23" s="15"/>
      <c r="IJ23" s="15"/>
      <c r="IK23" s="15"/>
      <c r="IL23" s="15"/>
      <c r="IM23" s="15"/>
    </row>
    <row r="24" spans="2:247" s="14" customFormat="1" ht="23.1" customHeight="1" thickBot="1">
      <c r="B24" s="913" t="s">
        <v>609</v>
      </c>
      <c r="C24" s="913"/>
      <c r="D24" s="913"/>
      <c r="E24" s="914"/>
      <c r="F24" s="163" t="s">
        <v>109</v>
      </c>
      <c r="G24" s="162">
        <f>ROUND((G9+G13)/(1-D18),2)</f>
        <v>0</v>
      </c>
      <c r="H24" s="152"/>
      <c r="I24" s="156"/>
      <c r="J24" s="151"/>
      <c r="K24" s="150"/>
      <c r="L24" s="150"/>
      <c r="IG24" s="15"/>
      <c r="IH24" s="15"/>
      <c r="II24" s="15"/>
      <c r="IJ24" s="15"/>
      <c r="IK24" s="15"/>
      <c r="IL24" s="15"/>
      <c r="IM24" s="15"/>
    </row>
    <row r="25" spans="2:247" s="14" customFormat="1" ht="60" customHeight="1">
      <c r="B25" s="915" t="s">
        <v>1207</v>
      </c>
      <c r="C25" s="916"/>
      <c r="D25" s="916"/>
      <c r="E25" s="916"/>
      <c r="F25" s="917"/>
      <c r="G25" s="609" t="s">
        <v>1205</v>
      </c>
      <c r="H25" s="152"/>
      <c r="I25" s="156"/>
      <c r="J25" s="151"/>
      <c r="K25" s="150"/>
      <c r="L25" s="150"/>
      <c r="IG25" s="15"/>
      <c r="IH25" s="15"/>
      <c r="II25" s="15"/>
      <c r="IJ25" s="15"/>
      <c r="IK25" s="15"/>
      <c r="IL25" s="15"/>
      <c r="IM25" s="15"/>
    </row>
    <row r="26" spans="2:247" s="14" customFormat="1">
      <c r="B26" s="159"/>
      <c r="C26" s="159"/>
      <c r="D26" s="159"/>
      <c r="E26" s="159"/>
      <c r="F26" s="159"/>
      <c r="G26" s="159"/>
      <c r="H26" s="160"/>
      <c r="I26" s="150"/>
      <c r="J26" s="151"/>
      <c r="K26" s="150"/>
      <c r="L26" s="150"/>
      <c r="IG26" s="15"/>
      <c r="IH26" s="15"/>
      <c r="II26" s="15"/>
      <c r="IJ26" s="15"/>
      <c r="IK26" s="15"/>
      <c r="IL26" s="15"/>
      <c r="IM26" s="15"/>
    </row>
    <row r="27" spans="2:247" s="14" customFormat="1" ht="30" customHeight="1">
      <c r="B27" s="159"/>
      <c r="C27" s="159"/>
      <c r="D27" s="159"/>
      <c r="E27" s="159"/>
      <c r="F27" s="158" t="s">
        <v>110</v>
      </c>
      <c r="G27" s="157"/>
      <c r="H27" s="156"/>
      <c r="I27" s="156"/>
      <c r="J27" s="151"/>
      <c r="K27" s="150"/>
      <c r="L27" s="150"/>
      <c r="IG27" s="15"/>
      <c r="IH27" s="15"/>
      <c r="II27" s="15"/>
      <c r="IJ27" s="15"/>
      <c r="IK27" s="15"/>
      <c r="IL27" s="15"/>
      <c r="IM27" s="15"/>
    </row>
    <row r="28" spans="2:247" s="14" customFormat="1">
      <c r="H28" s="150"/>
      <c r="I28" s="150"/>
      <c r="J28" s="151"/>
      <c r="K28" s="150"/>
      <c r="L28" s="150"/>
      <c r="IG28" s="15"/>
      <c r="IH28" s="15"/>
      <c r="II28" s="15"/>
      <c r="IJ28" s="15"/>
      <c r="IK28" s="15"/>
      <c r="IL28" s="15"/>
      <c r="IM28" s="15"/>
    </row>
    <row r="30" spans="2:247" ht="24.75" customHeight="1">
      <c r="B30" s="155" t="s">
        <v>608</v>
      </c>
      <c r="C30" s="154"/>
      <c r="D30" s="153"/>
      <c r="E30" s="153"/>
      <c r="F30" s="153"/>
      <c r="G30" s="153"/>
    </row>
    <row r="31" spans="2:247" ht="33.75" customHeight="1">
      <c r="B31" s="593">
        <v>1</v>
      </c>
      <c r="C31" s="904" t="s">
        <v>607</v>
      </c>
      <c r="D31" s="904"/>
      <c r="E31" s="904"/>
      <c r="F31" s="904"/>
      <c r="G31" s="904"/>
      <c r="H31" s="594"/>
    </row>
    <row r="32" spans="2:247" s="150" customFormat="1" ht="99" customHeight="1">
      <c r="B32" s="593">
        <f t="shared" ref="B32:B40" si="0">B31+1</f>
        <v>2</v>
      </c>
      <c r="C32" s="904" t="s">
        <v>1156</v>
      </c>
      <c r="D32" s="904"/>
      <c r="E32" s="904"/>
      <c r="F32" s="904"/>
      <c r="G32" s="904"/>
      <c r="H32" s="594"/>
      <c r="J32" s="151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5"/>
      <c r="IH32" s="15"/>
      <c r="II32" s="15"/>
      <c r="IJ32" s="15"/>
      <c r="IK32" s="15"/>
      <c r="IL32" s="15"/>
      <c r="IM32" s="15"/>
    </row>
    <row r="33" spans="2:247" s="150" customFormat="1" ht="123.75" customHeight="1">
      <c r="B33" s="593">
        <f t="shared" si="0"/>
        <v>3</v>
      </c>
      <c r="C33" s="904" t="s">
        <v>1157</v>
      </c>
      <c r="D33" s="904"/>
      <c r="E33" s="904"/>
      <c r="F33" s="904"/>
      <c r="G33" s="904"/>
      <c r="H33" s="594"/>
      <c r="J33" s="151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5"/>
      <c r="IH33" s="15"/>
      <c r="II33" s="15"/>
      <c r="IJ33" s="15"/>
      <c r="IK33" s="15"/>
      <c r="IL33" s="15"/>
      <c r="IM33" s="15"/>
    </row>
    <row r="34" spans="2:247" s="150" customFormat="1" ht="123.75" customHeight="1">
      <c r="B34" s="593">
        <f t="shared" si="0"/>
        <v>4</v>
      </c>
      <c r="C34" s="904" t="s">
        <v>606</v>
      </c>
      <c r="D34" s="904"/>
      <c r="E34" s="904"/>
      <c r="F34" s="904"/>
      <c r="G34" s="904"/>
      <c r="H34" s="594"/>
      <c r="J34" s="151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5"/>
      <c r="IH34" s="15"/>
      <c r="II34" s="15"/>
      <c r="IJ34" s="15"/>
      <c r="IK34" s="15"/>
      <c r="IL34" s="15"/>
      <c r="IM34" s="15"/>
    </row>
    <row r="35" spans="2:247" s="150" customFormat="1" ht="112.5" customHeight="1">
      <c r="B35" s="593">
        <f t="shared" si="0"/>
        <v>5</v>
      </c>
      <c r="C35" s="904" t="s">
        <v>605</v>
      </c>
      <c r="D35" s="904"/>
      <c r="E35" s="904"/>
      <c r="F35" s="904"/>
      <c r="G35" s="904"/>
      <c r="H35" s="594"/>
      <c r="J35" s="151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5"/>
      <c r="IH35" s="15"/>
      <c r="II35" s="15"/>
      <c r="IJ35" s="15"/>
      <c r="IK35" s="15"/>
      <c r="IL35" s="15"/>
      <c r="IM35" s="15"/>
    </row>
    <row r="36" spans="2:247" s="150" customFormat="1" ht="99.75" customHeight="1">
      <c r="B36" s="593">
        <f t="shared" si="0"/>
        <v>6</v>
      </c>
      <c r="C36" s="904" t="s">
        <v>1182</v>
      </c>
      <c r="D36" s="904"/>
      <c r="E36" s="904"/>
      <c r="F36" s="904"/>
      <c r="G36" s="904"/>
      <c r="H36" s="594"/>
      <c r="J36" s="151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5"/>
      <c r="IH36" s="15"/>
      <c r="II36" s="15"/>
      <c r="IJ36" s="15"/>
      <c r="IK36" s="15"/>
      <c r="IL36" s="15"/>
      <c r="IM36" s="15"/>
    </row>
    <row r="37" spans="2:247" s="150" customFormat="1" ht="127.5" customHeight="1">
      <c r="B37" s="593">
        <f t="shared" si="0"/>
        <v>7</v>
      </c>
      <c r="C37" s="904" t="s">
        <v>1183</v>
      </c>
      <c r="D37" s="904"/>
      <c r="E37" s="904"/>
      <c r="F37" s="904"/>
      <c r="G37" s="904"/>
      <c r="H37" s="594"/>
      <c r="J37" s="151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  <c r="BT37" s="14"/>
      <c r="BU37" s="14"/>
      <c r="BV37" s="14"/>
      <c r="BW37" s="14"/>
      <c r="BX37" s="14"/>
      <c r="BY37" s="14"/>
      <c r="BZ37" s="14"/>
      <c r="CA37" s="14"/>
      <c r="CB37" s="14"/>
      <c r="CC37" s="14"/>
      <c r="CD37" s="14"/>
      <c r="CE37" s="14"/>
      <c r="CF37" s="14"/>
      <c r="CG37" s="14"/>
      <c r="CH37" s="14"/>
      <c r="CI37" s="14"/>
      <c r="CJ37" s="14"/>
      <c r="CK37" s="14"/>
      <c r="CL37" s="14"/>
      <c r="CM37" s="14"/>
      <c r="CN37" s="14"/>
      <c r="CO37" s="14"/>
      <c r="CP37" s="14"/>
      <c r="CQ37" s="14"/>
      <c r="CR37" s="14"/>
      <c r="CS37" s="14"/>
      <c r="CT37" s="14"/>
      <c r="CU37" s="14"/>
      <c r="CV37" s="14"/>
      <c r="CW37" s="14"/>
      <c r="CX37" s="14"/>
      <c r="CY37" s="14"/>
      <c r="CZ37" s="14"/>
      <c r="DA37" s="14"/>
      <c r="DB37" s="14"/>
      <c r="DC37" s="14"/>
      <c r="DD37" s="14"/>
      <c r="DE37" s="14"/>
      <c r="DF37" s="14"/>
      <c r="DG37" s="14"/>
      <c r="DH37" s="14"/>
      <c r="DI37" s="14"/>
      <c r="DJ37" s="14"/>
      <c r="DK37" s="14"/>
      <c r="DL37" s="14"/>
      <c r="DM37" s="14"/>
      <c r="DN37" s="14"/>
      <c r="DO37" s="14"/>
      <c r="DP37" s="14"/>
      <c r="DQ37" s="14"/>
      <c r="DR37" s="14"/>
      <c r="DS37" s="14"/>
      <c r="DT37" s="14"/>
      <c r="DU37" s="14"/>
      <c r="DV37" s="14"/>
      <c r="DW37" s="14"/>
      <c r="DX37" s="14"/>
      <c r="DY37" s="14"/>
      <c r="DZ37" s="14"/>
      <c r="EA37" s="14"/>
      <c r="EB37" s="14"/>
      <c r="EC37" s="14"/>
      <c r="ED37" s="14"/>
      <c r="EE37" s="14"/>
      <c r="EF37" s="14"/>
      <c r="EG37" s="14"/>
      <c r="EH37" s="14"/>
      <c r="EI37" s="14"/>
      <c r="EJ37" s="14"/>
      <c r="EK37" s="14"/>
      <c r="EL37" s="14"/>
      <c r="EM37" s="14"/>
      <c r="EN37" s="14"/>
      <c r="EO37" s="14"/>
      <c r="EP37" s="14"/>
      <c r="EQ37" s="14"/>
      <c r="ER37" s="14"/>
      <c r="ES37" s="14"/>
      <c r="ET37" s="14"/>
      <c r="EU37" s="14"/>
      <c r="EV37" s="14"/>
      <c r="EW37" s="14"/>
      <c r="EX37" s="14"/>
      <c r="EY37" s="14"/>
      <c r="EZ37" s="14"/>
      <c r="FA37" s="14"/>
      <c r="FB37" s="14"/>
      <c r="FC37" s="14"/>
      <c r="FD37" s="14"/>
      <c r="FE37" s="14"/>
      <c r="FF37" s="14"/>
      <c r="FG37" s="14"/>
      <c r="FH37" s="14"/>
      <c r="FI37" s="14"/>
      <c r="FJ37" s="14"/>
      <c r="FK37" s="14"/>
      <c r="FL37" s="14"/>
      <c r="FM37" s="14"/>
      <c r="FN37" s="14"/>
      <c r="FO37" s="14"/>
      <c r="FP37" s="14"/>
      <c r="FQ37" s="14"/>
      <c r="FR37" s="14"/>
      <c r="FS37" s="14"/>
      <c r="FT37" s="14"/>
      <c r="FU37" s="14"/>
      <c r="FV37" s="14"/>
      <c r="FW37" s="14"/>
      <c r="FX37" s="14"/>
      <c r="FY37" s="14"/>
      <c r="FZ37" s="14"/>
      <c r="GA37" s="14"/>
      <c r="GB37" s="14"/>
      <c r="GC37" s="14"/>
      <c r="GD37" s="14"/>
      <c r="GE37" s="14"/>
      <c r="GF37" s="14"/>
      <c r="GG37" s="14"/>
      <c r="GH37" s="14"/>
      <c r="GI37" s="14"/>
      <c r="GJ37" s="14"/>
      <c r="GK37" s="14"/>
      <c r="GL37" s="14"/>
      <c r="GM37" s="14"/>
      <c r="GN37" s="14"/>
      <c r="GO37" s="14"/>
      <c r="GP37" s="14"/>
      <c r="GQ37" s="14"/>
      <c r="GR37" s="14"/>
      <c r="GS37" s="14"/>
      <c r="GT37" s="14"/>
      <c r="GU37" s="14"/>
      <c r="GV37" s="14"/>
      <c r="GW37" s="14"/>
      <c r="GX37" s="14"/>
      <c r="GY37" s="14"/>
      <c r="GZ37" s="14"/>
      <c r="HA37" s="14"/>
      <c r="HB37" s="14"/>
      <c r="HC37" s="14"/>
      <c r="HD37" s="14"/>
      <c r="HE37" s="14"/>
      <c r="HF37" s="14"/>
      <c r="HG37" s="14"/>
      <c r="HH37" s="14"/>
      <c r="HI37" s="14"/>
      <c r="HJ37" s="14"/>
      <c r="HK37" s="14"/>
      <c r="HL37" s="14"/>
      <c r="HM37" s="14"/>
      <c r="HN37" s="14"/>
      <c r="HO37" s="14"/>
      <c r="HP37" s="14"/>
      <c r="HQ37" s="14"/>
      <c r="HR37" s="14"/>
      <c r="HS37" s="14"/>
      <c r="HT37" s="14"/>
      <c r="HU37" s="14"/>
      <c r="HV37" s="14"/>
      <c r="HW37" s="14"/>
      <c r="HX37" s="14"/>
      <c r="HY37" s="14"/>
      <c r="HZ37" s="14"/>
      <c r="IA37" s="14"/>
      <c r="IB37" s="14"/>
      <c r="IC37" s="14"/>
      <c r="ID37" s="14"/>
      <c r="IE37" s="14"/>
      <c r="IF37" s="14"/>
      <c r="IG37" s="15"/>
      <c r="IH37" s="15"/>
      <c r="II37" s="15"/>
      <c r="IJ37" s="15"/>
      <c r="IK37" s="15"/>
      <c r="IL37" s="15"/>
      <c r="IM37" s="15"/>
    </row>
    <row r="38" spans="2:247" s="150" customFormat="1" ht="33.75" customHeight="1">
      <c r="B38" s="593">
        <f>B37+1</f>
        <v>8</v>
      </c>
      <c r="C38" s="904" t="s">
        <v>1158</v>
      </c>
      <c r="D38" s="904"/>
      <c r="E38" s="904"/>
      <c r="F38" s="904"/>
      <c r="G38" s="904"/>
      <c r="H38" s="594"/>
      <c r="J38" s="151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5"/>
      <c r="IH38" s="15"/>
      <c r="II38" s="15"/>
      <c r="IJ38" s="15"/>
      <c r="IK38" s="15"/>
      <c r="IL38" s="15"/>
      <c r="IM38" s="15"/>
    </row>
    <row r="39" spans="2:247" s="150" customFormat="1" ht="30" customHeight="1">
      <c r="B39" s="593">
        <f>B38+1</f>
        <v>9</v>
      </c>
      <c r="C39" s="904" t="s">
        <v>1159</v>
      </c>
      <c r="D39" s="904"/>
      <c r="E39" s="904"/>
      <c r="F39" s="904"/>
      <c r="G39" s="904"/>
      <c r="H39" s="594"/>
      <c r="J39" s="151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  <c r="GW39" s="14"/>
      <c r="GX39" s="14"/>
      <c r="GY39" s="14"/>
      <c r="GZ39" s="14"/>
      <c r="HA39" s="14"/>
      <c r="HB39" s="14"/>
      <c r="HC39" s="14"/>
      <c r="HD39" s="14"/>
      <c r="HE39" s="14"/>
      <c r="HF39" s="14"/>
      <c r="HG39" s="14"/>
      <c r="HH39" s="14"/>
      <c r="HI39" s="14"/>
      <c r="HJ39" s="14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  <c r="HW39" s="14"/>
      <c r="HX39" s="14"/>
      <c r="HY39" s="14"/>
      <c r="HZ39" s="14"/>
      <c r="IA39" s="14"/>
      <c r="IB39" s="14"/>
      <c r="IC39" s="14"/>
      <c r="ID39" s="14"/>
      <c r="IE39" s="14"/>
      <c r="IF39" s="14"/>
      <c r="IG39" s="15"/>
      <c r="IH39" s="15"/>
      <c r="II39" s="15"/>
      <c r="IJ39" s="15"/>
      <c r="IK39" s="15"/>
      <c r="IL39" s="15"/>
      <c r="IM39" s="15"/>
    </row>
    <row r="40" spans="2:247" s="150" customFormat="1" ht="39.75" customHeight="1">
      <c r="B40" s="593">
        <f t="shared" si="0"/>
        <v>10</v>
      </c>
      <c r="C40" s="904" t="s">
        <v>710</v>
      </c>
      <c r="D40" s="904"/>
      <c r="E40" s="904"/>
      <c r="F40" s="904"/>
      <c r="G40" s="904"/>
      <c r="H40" s="594"/>
      <c r="J40" s="151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14"/>
      <c r="DY40" s="14"/>
      <c r="DZ40" s="14"/>
      <c r="EA40" s="14"/>
      <c r="EB40" s="14"/>
      <c r="EC40" s="14"/>
      <c r="ED40" s="14"/>
      <c r="EE40" s="14"/>
      <c r="EF40" s="14"/>
      <c r="EG40" s="14"/>
      <c r="EH40" s="14"/>
      <c r="EI40" s="14"/>
      <c r="EJ40" s="14"/>
      <c r="EK40" s="14"/>
      <c r="EL40" s="14"/>
      <c r="EM40" s="14"/>
      <c r="EN40" s="14"/>
      <c r="EO40" s="14"/>
      <c r="EP40" s="14"/>
      <c r="EQ40" s="14"/>
      <c r="ER40" s="14"/>
      <c r="ES40" s="14"/>
      <c r="ET40" s="14"/>
      <c r="EU40" s="14"/>
      <c r="EV40" s="14"/>
      <c r="EW40" s="14"/>
      <c r="EX40" s="14"/>
      <c r="EY40" s="14"/>
      <c r="EZ40" s="14"/>
      <c r="FA40" s="14"/>
      <c r="FB40" s="14"/>
      <c r="FC40" s="14"/>
      <c r="FD40" s="14"/>
      <c r="FE40" s="14"/>
      <c r="FF40" s="14"/>
      <c r="FG40" s="14"/>
      <c r="FH40" s="14"/>
      <c r="FI40" s="14"/>
      <c r="FJ40" s="14"/>
      <c r="FK40" s="14"/>
      <c r="FL40" s="14"/>
      <c r="FM40" s="14"/>
      <c r="FN40" s="14"/>
      <c r="FO40" s="14"/>
      <c r="FP40" s="14"/>
      <c r="FQ40" s="14"/>
      <c r="FR40" s="14"/>
      <c r="FS40" s="14"/>
      <c r="FT40" s="14"/>
      <c r="FU40" s="14"/>
      <c r="FV40" s="14"/>
      <c r="FW40" s="14"/>
      <c r="FX40" s="14"/>
      <c r="FY40" s="14"/>
      <c r="FZ40" s="14"/>
      <c r="GA40" s="14"/>
      <c r="GB40" s="14"/>
      <c r="GC40" s="14"/>
      <c r="GD40" s="14"/>
      <c r="GE40" s="14"/>
      <c r="GF40" s="14"/>
      <c r="GG40" s="14"/>
      <c r="GH40" s="14"/>
      <c r="GI40" s="14"/>
      <c r="GJ40" s="14"/>
      <c r="GK40" s="14"/>
      <c r="GL40" s="14"/>
      <c r="GM40" s="14"/>
      <c r="GN40" s="14"/>
      <c r="GO40" s="14"/>
      <c r="GP40" s="14"/>
      <c r="GQ40" s="14"/>
      <c r="GR40" s="14"/>
      <c r="GS40" s="14"/>
      <c r="GT40" s="14"/>
      <c r="GU40" s="14"/>
      <c r="GV40" s="14"/>
      <c r="GW40" s="14"/>
      <c r="GX40" s="14"/>
      <c r="GY40" s="14"/>
      <c r="GZ40" s="14"/>
      <c r="HA40" s="14"/>
      <c r="HB40" s="14"/>
      <c r="HC40" s="14"/>
      <c r="HD40" s="14"/>
      <c r="HE40" s="14"/>
      <c r="HF40" s="14"/>
      <c r="HG40" s="14"/>
      <c r="HH40" s="14"/>
      <c r="HI40" s="14"/>
      <c r="HJ40" s="14"/>
      <c r="HK40" s="14"/>
      <c r="HL40" s="14"/>
      <c r="HM40" s="14"/>
      <c r="HN40" s="14"/>
      <c r="HO40" s="14"/>
      <c r="HP40" s="14"/>
      <c r="HQ40" s="14"/>
      <c r="HR40" s="14"/>
      <c r="HS40" s="14"/>
      <c r="HT40" s="14"/>
      <c r="HU40" s="14"/>
      <c r="HV40" s="14"/>
      <c r="HW40" s="14"/>
      <c r="HX40" s="14"/>
      <c r="HY40" s="14"/>
      <c r="HZ40" s="14"/>
      <c r="IA40" s="14"/>
      <c r="IB40" s="14"/>
      <c r="IC40" s="14"/>
      <c r="ID40" s="14"/>
      <c r="IE40" s="14"/>
      <c r="IF40" s="14"/>
      <c r="IG40" s="15"/>
      <c r="IH40" s="15"/>
      <c r="II40" s="15"/>
      <c r="IJ40" s="15"/>
      <c r="IK40" s="15"/>
      <c r="IL40" s="15"/>
      <c r="IM40" s="15"/>
    </row>
  </sheetData>
  <mergeCells count="35">
    <mergeCell ref="B15:C15"/>
    <mergeCell ref="B3:G3"/>
    <mergeCell ref="B4:G4"/>
    <mergeCell ref="K4:L5"/>
    <mergeCell ref="B5:G5"/>
    <mergeCell ref="B6:C6"/>
    <mergeCell ref="B7:C7"/>
    <mergeCell ref="K7:K9"/>
    <mergeCell ref="L7:L9"/>
    <mergeCell ref="B8:C8"/>
    <mergeCell ref="B9:E9"/>
    <mergeCell ref="B10:G10"/>
    <mergeCell ref="B11:D11"/>
    <mergeCell ref="B12:D12"/>
    <mergeCell ref="B13:F13"/>
    <mergeCell ref="B14:G14"/>
    <mergeCell ref="C33:G33"/>
    <mergeCell ref="B16:C16"/>
    <mergeCell ref="B17:C17"/>
    <mergeCell ref="B19:G19"/>
    <mergeCell ref="B20:G20"/>
    <mergeCell ref="B21:G21"/>
    <mergeCell ref="B22:G22"/>
    <mergeCell ref="B23:G23"/>
    <mergeCell ref="B24:E24"/>
    <mergeCell ref="B25:F25"/>
    <mergeCell ref="C31:G31"/>
    <mergeCell ref="C32:G32"/>
    <mergeCell ref="C40:G40"/>
    <mergeCell ref="C34:G34"/>
    <mergeCell ref="C35:G35"/>
    <mergeCell ref="C36:G36"/>
    <mergeCell ref="C37:G37"/>
    <mergeCell ref="C38:G38"/>
    <mergeCell ref="C39:G39"/>
  </mergeCells>
  <printOptions horizontalCentered="1" verticalCentered="1"/>
  <pageMargins left="0.59055118110236227" right="0.39370078740157483" top="0.39370078740157483" bottom="0.59055118110236227" header="0.51181102362204722" footer="0.51181102362204722"/>
  <pageSetup paperSize="9" scale="52" firstPageNumber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00DCD-F74F-4758-AAD1-65B053D438EE}">
  <dimension ref="B2:AF80"/>
  <sheetViews>
    <sheetView showGridLines="0" zoomScale="80" zoomScaleNormal="80" workbookViewId="0">
      <selection activeCell="E44" sqref="E44"/>
    </sheetView>
  </sheetViews>
  <sheetFormatPr defaultColWidth="9.140625" defaultRowHeight="18"/>
  <cols>
    <col min="1" max="1" width="9.140625" style="325"/>
    <col min="2" max="2" width="48.42578125" style="325" customWidth="1"/>
    <col min="3" max="3" width="41.42578125" style="325" customWidth="1"/>
    <col min="4" max="4" width="39.5703125" style="325" customWidth="1"/>
    <col min="5" max="6" width="33.5703125" style="277" customWidth="1"/>
    <col min="7" max="7" width="26.28515625" style="278" customWidth="1"/>
    <col min="8" max="8" width="18.140625" style="279" customWidth="1"/>
    <col min="9" max="9" width="25.5703125" style="280" customWidth="1"/>
    <col min="10" max="10" width="22.140625" style="278" customWidth="1"/>
    <col min="11" max="11" width="23.85546875" style="280" customWidth="1"/>
    <col min="12" max="12" width="23.28515625" style="280" customWidth="1"/>
    <col min="13" max="13" width="18" style="278" customWidth="1"/>
    <col min="14" max="14" width="21" style="278" customWidth="1"/>
    <col min="15" max="15" width="21.28515625" style="278" customWidth="1"/>
    <col min="16" max="16" width="13.5703125" style="281" customWidth="1"/>
    <col min="17" max="17" width="21.85546875" style="278" bestFit="1" customWidth="1"/>
    <col min="18" max="18" width="21.85546875" style="278" customWidth="1"/>
    <col min="19" max="19" width="9.28515625" style="278" customWidth="1"/>
    <col min="20" max="20" width="18.42578125" style="278" customWidth="1"/>
    <col min="21" max="21" width="24.5703125" style="280" customWidth="1"/>
    <col min="22" max="22" width="26.5703125" style="278" customWidth="1"/>
    <col min="23" max="24" width="23.7109375" style="280" customWidth="1"/>
    <col min="25" max="26" width="21.85546875" style="280" customWidth="1"/>
    <col min="27" max="27" width="25.7109375" style="280" customWidth="1"/>
    <col min="28" max="28" width="15.42578125" style="278" customWidth="1"/>
    <col min="29" max="32" width="9.140625" style="278"/>
    <col min="33" max="16384" width="9.140625" style="325"/>
  </cols>
  <sheetData>
    <row r="2" spans="2:28" ht="18.75" thickBot="1">
      <c r="B2" s="276"/>
      <c r="C2" s="276"/>
      <c r="D2" s="276"/>
      <c r="Q2" s="282"/>
      <c r="R2" s="282"/>
    </row>
    <row r="3" spans="2:28" ht="18" customHeight="1">
      <c r="B3" s="1015" t="s">
        <v>0</v>
      </c>
      <c r="C3" s="1015"/>
      <c r="D3" s="1015"/>
      <c r="E3" s="283"/>
      <c r="F3" s="284"/>
      <c r="G3" s="1016" t="s">
        <v>1</v>
      </c>
      <c r="H3" s="1017"/>
      <c r="I3" s="1018"/>
      <c r="J3" s="285" t="s">
        <v>2</v>
      </c>
      <c r="S3" s="1019" t="s">
        <v>1</v>
      </c>
      <c r="T3" s="1020"/>
      <c r="U3" s="1020"/>
      <c r="V3" s="286" t="s">
        <v>3</v>
      </c>
    </row>
    <row r="4" spans="2:28" s="278" customFormat="1">
      <c r="B4" s="1015"/>
      <c r="C4" s="1015"/>
      <c r="D4" s="1015"/>
      <c r="E4" s="283" t="s">
        <v>649</v>
      </c>
      <c r="F4" s="284" t="s">
        <v>650</v>
      </c>
      <c r="G4" s="1021" t="s">
        <v>4</v>
      </c>
      <c r="H4" s="1023" t="s">
        <v>5</v>
      </c>
      <c r="I4" s="287" t="s">
        <v>6</v>
      </c>
      <c r="J4" s="288" t="s">
        <v>7</v>
      </c>
      <c r="K4" s="289" t="s">
        <v>8</v>
      </c>
      <c r="L4" s="290" t="s">
        <v>9</v>
      </c>
      <c r="M4" s="291" t="s">
        <v>10</v>
      </c>
      <c r="N4" s="291" t="s">
        <v>11</v>
      </c>
      <c r="O4" s="292" t="s">
        <v>12</v>
      </c>
      <c r="P4" s="293" t="s">
        <v>13</v>
      </c>
      <c r="Q4" s="278" t="s">
        <v>649</v>
      </c>
      <c r="R4" s="278" t="s">
        <v>650</v>
      </c>
      <c r="S4" s="1025" t="s">
        <v>4</v>
      </c>
      <c r="T4" s="1026" t="s">
        <v>5</v>
      </c>
      <c r="U4" s="291" t="s">
        <v>6</v>
      </c>
      <c r="V4" s="288" t="s">
        <v>7</v>
      </c>
      <c r="W4" s="289" t="s">
        <v>8</v>
      </c>
      <c r="X4" s="290" t="s">
        <v>9</v>
      </c>
      <c r="Y4" s="291" t="s">
        <v>10</v>
      </c>
      <c r="Z4" s="291" t="s">
        <v>11</v>
      </c>
      <c r="AA4" s="292" t="s">
        <v>12</v>
      </c>
      <c r="AB4" s="293" t="s">
        <v>13</v>
      </c>
    </row>
    <row r="5" spans="2:28" s="278" customFormat="1" ht="83.25" customHeight="1">
      <c r="B5" s="1027" t="s">
        <v>14</v>
      </c>
      <c r="C5" s="1027"/>
      <c r="D5" s="294" t="s">
        <v>15</v>
      </c>
      <c r="E5" s="295" t="s">
        <v>651</v>
      </c>
      <c r="F5" s="295" t="s">
        <v>651</v>
      </c>
      <c r="G5" s="1022"/>
      <c r="H5" s="1024"/>
      <c r="I5" s="296" t="s">
        <v>16</v>
      </c>
      <c r="J5" s="297" t="s">
        <v>17</v>
      </c>
      <c r="K5" s="298" t="s">
        <v>18</v>
      </c>
      <c r="L5" s="299" t="s">
        <v>50</v>
      </c>
      <c r="M5" s="299" t="s">
        <v>19</v>
      </c>
      <c r="N5" s="300" t="s">
        <v>20</v>
      </c>
      <c r="O5" s="300" t="s">
        <v>21</v>
      </c>
      <c r="P5" s="301" t="s">
        <v>22</v>
      </c>
      <c r="Q5" s="295" t="s">
        <v>652</v>
      </c>
      <c r="R5" s="295" t="s">
        <v>652</v>
      </c>
      <c r="S5" s="1025"/>
      <c r="T5" s="1026"/>
      <c r="U5" s="302" t="s">
        <v>16</v>
      </c>
      <c r="V5" s="297" t="s">
        <v>23</v>
      </c>
      <c r="W5" s="298" t="s">
        <v>18</v>
      </c>
      <c r="X5" s="299" t="s">
        <v>51</v>
      </c>
      <c r="Y5" s="299" t="s">
        <v>19</v>
      </c>
      <c r="Z5" s="300" t="s">
        <v>20</v>
      </c>
      <c r="AA5" s="300" t="s">
        <v>24</v>
      </c>
      <c r="AB5" s="301" t="s">
        <v>25</v>
      </c>
    </row>
    <row r="6" spans="2:28" s="278" customFormat="1" ht="33" customHeight="1">
      <c r="B6" s="1028" t="s">
        <v>26</v>
      </c>
      <c r="C6" s="1028"/>
      <c r="D6" s="291" t="s">
        <v>27</v>
      </c>
      <c r="E6" s="280"/>
      <c r="F6" s="280">
        <f>3374.8/(0.65/100)</f>
        <v>519200</v>
      </c>
      <c r="G6" s="303">
        <v>1</v>
      </c>
      <c r="H6" s="304">
        <v>44562</v>
      </c>
      <c r="I6" s="290">
        <f t="shared" ref="I6:I9" si="0">E6+F6</f>
        <v>519200</v>
      </c>
      <c r="J6" s="305">
        <f t="shared" ref="J6:J9" si="1">1.65/100*E6+0.65/100*F6</f>
        <v>3374.8</v>
      </c>
      <c r="K6" s="306">
        <v>0</v>
      </c>
      <c r="L6" s="307">
        <v>3374.79</v>
      </c>
      <c r="M6" s="308">
        <f>J6-K6-L6</f>
        <v>1.0000000000218279E-2</v>
      </c>
      <c r="N6" s="309">
        <v>0</v>
      </c>
      <c r="O6" s="290">
        <f>J6-K6-N6</f>
        <v>3374.8</v>
      </c>
      <c r="P6" s="293">
        <f>IFERROR(O6/I6, " ")</f>
        <v>6.5000000000000006E-3</v>
      </c>
      <c r="Q6" s="280"/>
      <c r="R6" s="280">
        <f>15576.02/(3/100)</f>
        <v>519200.66666666669</v>
      </c>
      <c r="S6" s="310">
        <v>1</v>
      </c>
      <c r="T6" s="311">
        <f>H6</f>
        <v>44562</v>
      </c>
      <c r="U6" s="290">
        <f t="shared" ref="U6:U7" si="2">Q6+R6</f>
        <v>519200.66666666669</v>
      </c>
      <c r="V6" s="305">
        <f t="shared" ref="V6:V8" si="3">7.6/100*Q6+3/100*R6</f>
        <v>15576.02</v>
      </c>
      <c r="W6" s="306">
        <v>0</v>
      </c>
      <c r="X6" s="307">
        <v>15576.02</v>
      </c>
      <c r="Y6" s="308">
        <f t="shared" ref="Y6:Y16" si="4">V6-W6-X6</f>
        <v>0</v>
      </c>
      <c r="Z6" s="309">
        <v>0</v>
      </c>
      <c r="AA6" s="290">
        <f>V6-W6-Z6</f>
        <v>15576.02</v>
      </c>
      <c r="AB6" s="293">
        <f>IFERROR(AA6/U6, " ")</f>
        <v>0.03</v>
      </c>
    </row>
    <row r="7" spans="2:28" s="278" customFormat="1" ht="33" customHeight="1">
      <c r="B7" s="1028"/>
      <c r="C7" s="1028"/>
      <c r="D7" s="291" t="s">
        <v>28</v>
      </c>
      <c r="E7" s="282"/>
      <c r="F7" s="280">
        <f>3732.8/(0.65/100)</f>
        <v>574276.92307692301</v>
      </c>
      <c r="G7" s="303">
        <f t="shared" ref="G7:G17" si="5">1+G6</f>
        <v>2</v>
      </c>
      <c r="H7" s="304">
        <v>44593</v>
      </c>
      <c r="I7" s="290">
        <f t="shared" si="0"/>
        <v>574276.92307692301</v>
      </c>
      <c r="J7" s="305">
        <f t="shared" si="1"/>
        <v>3732.7999999999997</v>
      </c>
      <c r="K7" s="306">
        <v>0</v>
      </c>
      <c r="L7" s="307">
        <v>3732.8</v>
      </c>
      <c r="M7" s="308">
        <f>J7-K7-L7</f>
        <v>0</v>
      </c>
      <c r="N7" s="309">
        <v>0</v>
      </c>
      <c r="O7" s="290">
        <f>J7-K7-N7</f>
        <v>3732.7999999999997</v>
      </c>
      <c r="P7" s="293">
        <f>IFERROR(O7/I7, " ")</f>
        <v>6.5000000000000006E-3</v>
      </c>
      <c r="Q7" s="280"/>
      <c r="R7" s="280">
        <f>17228.32/(3/100)</f>
        <v>574277.33333333337</v>
      </c>
      <c r="S7" s="310">
        <f t="shared" ref="S7:S17" si="6">S6+1</f>
        <v>2</v>
      </c>
      <c r="T7" s="311">
        <f t="shared" ref="T7:T17" si="7">H7</f>
        <v>44593</v>
      </c>
      <c r="U7" s="290">
        <f t="shared" si="2"/>
        <v>574277.33333333337</v>
      </c>
      <c r="V7" s="305">
        <f t="shared" si="3"/>
        <v>17228.32</v>
      </c>
      <c r="W7" s="306">
        <v>0</v>
      </c>
      <c r="X7" s="307">
        <v>17228.32</v>
      </c>
      <c r="Y7" s="308">
        <f t="shared" si="4"/>
        <v>0</v>
      </c>
      <c r="Z7" s="309">
        <v>0</v>
      </c>
      <c r="AA7" s="290">
        <f>V7-W7-Z7</f>
        <v>17228.32</v>
      </c>
      <c r="AB7" s="293">
        <f>IFERROR(AA7/U7, " ")</f>
        <v>0.03</v>
      </c>
    </row>
    <row r="8" spans="2:28" s="278" customFormat="1" ht="33" customHeight="1">
      <c r="B8" s="1028"/>
      <c r="C8" s="1028"/>
      <c r="D8" s="291" t="s">
        <v>29</v>
      </c>
      <c r="E8" s="280"/>
      <c r="F8" s="280">
        <f>2238.47/(0.65/100)</f>
        <v>344379.99999999994</v>
      </c>
      <c r="G8" s="303">
        <f t="shared" si="5"/>
        <v>3</v>
      </c>
      <c r="H8" s="304">
        <v>44621</v>
      </c>
      <c r="I8" s="290">
        <f t="shared" si="0"/>
        <v>344379.99999999994</v>
      </c>
      <c r="J8" s="305">
        <f t="shared" si="1"/>
        <v>2238.4699999999998</v>
      </c>
      <c r="K8" s="306">
        <v>0</v>
      </c>
      <c r="L8" s="307">
        <v>2238.4699999999998</v>
      </c>
      <c r="M8" s="308">
        <f t="shared" ref="M8:M17" si="8">J8-K8-L8</f>
        <v>0</v>
      </c>
      <c r="N8" s="309">
        <v>0</v>
      </c>
      <c r="O8" s="290">
        <f t="shared" ref="O8:O17" si="9">J8-K8-N8</f>
        <v>2238.4699999999998</v>
      </c>
      <c r="P8" s="293">
        <f t="shared" ref="P8:P17" si="10">IFERROR(O8/I8, " ")</f>
        <v>6.5000000000000006E-3</v>
      </c>
      <c r="Q8" s="280"/>
      <c r="R8" s="280">
        <f>10331.4/(3/100)</f>
        <v>344380</v>
      </c>
      <c r="S8" s="310">
        <f t="shared" si="6"/>
        <v>3</v>
      </c>
      <c r="T8" s="311">
        <f t="shared" si="7"/>
        <v>44621</v>
      </c>
      <c r="U8" s="290">
        <f>Q8+R8</f>
        <v>344380</v>
      </c>
      <c r="V8" s="305">
        <f t="shared" si="3"/>
        <v>10331.4</v>
      </c>
      <c r="W8" s="306">
        <v>0</v>
      </c>
      <c r="X8" s="307">
        <v>10331.4</v>
      </c>
      <c r="Y8" s="308">
        <f t="shared" si="4"/>
        <v>0</v>
      </c>
      <c r="Z8" s="309">
        <v>0</v>
      </c>
      <c r="AA8" s="290">
        <f t="shared" ref="AA8:AA17" si="11">V8-W8-Z8</f>
        <v>10331.4</v>
      </c>
      <c r="AB8" s="293">
        <f t="shared" ref="AB8:AB17" si="12">IFERROR(AA8/U8, " ")</f>
        <v>0.03</v>
      </c>
    </row>
    <row r="9" spans="2:28" s="278" customFormat="1" ht="33" customHeight="1">
      <c r="B9" s="1028"/>
      <c r="C9" s="1028"/>
      <c r="D9" s="291" t="s">
        <v>30</v>
      </c>
      <c r="E9" s="282"/>
      <c r="F9" s="280">
        <f>2336.91/(0.65/100)</f>
        <v>359524.61538461532</v>
      </c>
      <c r="G9" s="303">
        <f t="shared" si="5"/>
        <v>4</v>
      </c>
      <c r="H9" s="304">
        <v>44652</v>
      </c>
      <c r="I9" s="290">
        <f t="shared" si="0"/>
        <v>359524.61538461532</v>
      </c>
      <c r="J9" s="305">
        <f t="shared" si="1"/>
        <v>2336.91</v>
      </c>
      <c r="K9" s="306">
        <v>0</v>
      </c>
      <c r="L9" s="307">
        <v>2336.91</v>
      </c>
      <c r="M9" s="308">
        <f t="shared" si="8"/>
        <v>0</v>
      </c>
      <c r="N9" s="309">
        <v>0</v>
      </c>
      <c r="O9" s="290">
        <f t="shared" si="9"/>
        <v>2336.91</v>
      </c>
      <c r="P9" s="293">
        <f t="shared" si="10"/>
        <v>6.5000000000000006E-3</v>
      </c>
      <c r="Q9" s="282"/>
      <c r="R9" s="280">
        <f>10785.743/(3/100)</f>
        <v>359524.76666666672</v>
      </c>
      <c r="S9" s="310">
        <f t="shared" si="6"/>
        <v>4</v>
      </c>
      <c r="T9" s="311">
        <f t="shared" si="7"/>
        <v>44652</v>
      </c>
      <c r="U9" s="290">
        <f>Q9+R9</f>
        <v>359524.76666666672</v>
      </c>
      <c r="V9" s="305">
        <f>7.6/100*Q9+3/100*R9</f>
        <v>10785.743</v>
      </c>
      <c r="W9" s="306">
        <v>0</v>
      </c>
      <c r="X9" s="307">
        <v>10785.74</v>
      </c>
      <c r="Y9" s="308">
        <f t="shared" si="4"/>
        <v>3.0000000006111804E-3</v>
      </c>
      <c r="Z9" s="309">
        <v>0</v>
      </c>
      <c r="AA9" s="290">
        <f t="shared" si="11"/>
        <v>10785.743</v>
      </c>
      <c r="AB9" s="293">
        <f t="shared" si="12"/>
        <v>2.9999999999999995E-2</v>
      </c>
    </row>
    <row r="10" spans="2:28" s="278" customFormat="1" ht="33" customHeight="1">
      <c r="B10" s="1029" t="s">
        <v>31</v>
      </c>
      <c r="C10" s="1029"/>
      <c r="D10" s="291" t="s">
        <v>32</v>
      </c>
      <c r="E10" s="280"/>
      <c r="F10" s="280">
        <f>2296.57/(0.65/100)</f>
        <v>353318.46153846156</v>
      </c>
      <c r="G10" s="303">
        <f t="shared" si="5"/>
        <v>5</v>
      </c>
      <c r="H10" s="304">
        <v>44682</v>
      </c>
      <c r="I10" s="290">
        <f>E10+F10</f>
        <v>353318.46153846156</v>
      </c>
      <c r="J10" s="305">
        <f>1.65/100*E10+0.65/100*F10</f>
        <v>2296.5700000000002</v>
      </c>
      <c r="K10" s="306">
        <v>0</v>
      </c>
      <c r="L10" s="307">
        <v>2296.5700000000002</v>
      </c>
      <c r="M10" s="308">
        <f t="shared" si="8"/>
        <v>0</v>
      </c>
      <c r="N10" s="309">
        <v>0</v>
      </c>
      <c r="O10" s="290">
        <f t="shared" si="9"/>
        <v>2296.5700000000002</v>
      </c>
      <c r="P10" s="293">
        <f t="shared" si="10"/>
        <v>6.4999999999999997E-3</v>
      </c>
      <c r="Q10" s="280"/>
      <c r="R10" s="280">
        <f>10599.54/(3/100)</f>
        <v>353318.00000000006</v>
      </c>
      <c r="S10" s="310">
        <f t="shared" si="6"/>
        <v>5</v>
      </c>
      <c r="T10" s="311">
        <f t="shared" si="7"/>
        <v>44682</v>
      </c>
      <c r="U10" s="290">
        <f>Q10+R10</f>
        <v>353318.00000000006</v>
      </c>
      <c r="V10" s="305">
        <f>7.6/100*Q10+3/100*R10</f>
        <v>10599.54</v>
      </c>
      <c r="W10" s="306">
        <v>0</v>
      </c>
      <c r="X10" s="307">
        <v>10599.54</v>
      </c>
      <c r="Y10" s="308">
        <f t="shared" si="4"/>
        <v>0</v>
      </c>
      <c r="Z10" s="309">
        <v>0</v>
      </c>
      <c r="AA10" s="290">
        <f t="shared" si="11"/>
        <v>10599.54</v>
      </c>
      <c r="AB10" s="293">
        <f t="shared" si="12"/>
        <v>0.03</v>
      </c>
    </row>
    <row r="11" spans="2:28" s="278" customFormat="1" ht="33" customHeight="1">
      <c r="B11" s="1029"/>
      <c r="C11" s="1029"/>
      <c r="D11" s="291" t="s">
        <v>33</v>
      </c>
      <c r="E11" s="280"/>
      <c r="F11" s="280">
        <f>2548.08/(0.65/100)</f>
        <v>392012.30769230763</v>
      </c>
      <c r="G11" s="303">
        <f t="shared" si="5"/>
        <v>6</v>
      </c>
      <c r="H11" s="304">
        <v>44713</v>
      </c>
      <c r="I11" s="290">
        <f>E11+F11</f>
        <v>392012.30769230763</v>
      </c>
      <c r="J11" s="305">
        <f>1.65/100*E11+0.65/100*F11</f>
        <v>2548.08</v>
      </c>
      <c r="K11" s="306">
        <v>0</v>
      </c>
      <c r="L11" s="307">
        <v>2548.08</v>
      </c>
      <c r="M11" s="308">
        <f t="shared" si="8"/>
        <v>0</v>
      </c>
      <c r="N11" s="309">
        <v>0</v>
      </c>
      <c r="O11" s="290">
        <f t="shared" si="9"/>
        <v>2548.08</v>
      </c>
      <c r="P11" s="293">
        <f t="shared" si="10"/>
        <v>6.5000000000000006E-3</v>
      </c>
      <c r="Q11" s="280"/>
      <c r="R11" s="280">
        <f>11760.36/(3/100)</f>
        <v>392012.00000000006</v>
      </c>
      <c r="S11" s="310">
        <f t="shared" si="6"/>
        <v>6</v>
      </c>
      <c r="T11" s="311">
        <f t="shared" si="7"/>
        <v>44713</v>
      </c>
      <c r="U11" s="290">
        <f t="shared" ref="U11:U17" si="13">Q11+R11</f>
        <v>392012.00000000006</v>
      </c>
      <c r="V11" s="305">
        <f t="shared" ref="V11:V17" si="14">7.6/100*Q11+3/100*R11</f>
        <v>11760.36</v>
      </c>
      <c r="W11" s="306">
        <v>0</v>
      </c>
      <c r="X11" s="307">
        <v>11760.36</v>
      </c>
      <c r="Y11" s="308">
        <f t="shared" si="4"/>
        <v>0</v>
      </c>
      <c r="Z11" s="309">
        <v>0</v>
      </c>
      <c r="AA11" s="290">
        <f t="shared" si="11"/>
        <v>11760.36</v>
      </c>
      <c r="AB11" s="293">
        <f t="shared" si="12"/>
        <v>2.9999999999999995E-2</v>
      </c>
    </row>
    <row r="12" spans="2:28" s="278" customFormat="1" ht="33" customHeight="1">
      <c r="B12" s="1029"/>
      <c r="C12" s="1029"/>
      <c r="D12" s="291" t="s">
        <v>34</v>
      </c>
      <c r="E12" s="280"/>
      <c r="F12" s="280">
        <f>2677.17/(0.65/100)</f>
        <v>411872.30769230769</v>
      </c>
      <c r="G12" s="303">
        <f t="shared" si="5"/>
        <v>7</v>
      </c>
      <c r="H12" s="304">
        <v>44743</v>
      </c>
      <c r="I12" s="290">
        <f t="shared" ref="I12:I17" si="15">E12+F12</f>
        <v>411872.30769230769</v>
      </c>
      <c r="J12" s="305">
        <f t="shared" ref="J12:J17" si="16">1.65/100*E12+0.65/100*F12</f>
        <v>2677.17</v>
      </c>
      <c r="K12" s="306">
        <v>0</v>
      </c>
      <c r="L12" s="307">
        <v>2677.17</v>
      </c>
      <c r="M12" s="308">
        <f t="shared" si="8"/>
        <v>0</v>
      </c>
      <c r="N12" s="309">
        <v>0</v>
      </c>
      <c r="O12" s="290">
        <f t="shared" si="9"/>
        <v>2677.17</v>
      </c>
      <c r="P12" s="293">
        <f t="shared" si="10"/>
        <v>6.5000000000000006E-3</v>
      </c>
      <c r="Q12" s="280"/>
      <c r="R12" s="280">
        <f>12356.19/(3/100)</f>
        <v>411873.00000000006</v>
      </c>
      <c r="S12" s="310">
        <f t="shared" si="6"/>
        <v>7</v>
      </c>
      <c r="T12" s="311">
        <f t="shared" si="7"/>
        <v>44743</v>
      </c>
      <c r="U12" s="290">
        <f t="shared" si="13"/>
        <v>411873.00000000006</v>
      </c>
      <c r="V12" s="305">
        <f t="shared" si="14"/>
        <v>12356.19</v>
      </c>
      <c r="W12" s="306">
        <v>0</v>
      </c>
      <c r="X12" s="307">
        <v>12356.19</v>
      </c>
      <c r="Y12" s="308">
        <f t="shared" si="4"/>
        <v>0</v>
      </c>
      <c r="Z12" s="309">
        <v>0</v>
      </c>
      <c r="AA12" s="290">
        <f t="shared" si="11"/>
        <v>12356.19</v>
      </c>
      <c r="AB12" s="293">
        <f t="shared" si="12"/>
        <v>2.9999999999999995E-2</v>
      </c>
    </row>
    <row r="13" spans="2:28" s="278" customFormat="1" ht="33" customHeight="1">
      <c r="B13" s="1029"/>
      <c r="C13" s="1029"/>
      <c r="D13" s="291" t="s">
        <v>35</v>
      </c>
      <c r="E13" s="280"/>
      <c r="F13" s="280">
        <f>2301.93/(0.65/100)</f>
        <v>354143.07692307688</v>
      </c>
      <c r="G13" s="303">
        <f t="shared" si="5"/>
        <v>8</v>
      </c>
      <c r="H13" s="304">
        <v>44774</v>
      </c>
      <c r="I13" s="290">
        <f t="shared" si="15"/>
        <v>354143.07692307688</v>
      </c>
      <c r="J13" s="305">
        <f t="shared" si="16"/>
        <v>2301.9299999999998</v>
      </c>
      <c r="K13" s="306">
        <v>0</v>
      </c>
      <c r="L13" s="307">
        <v>2301.9299999999998</v>
      </c>
      <c r="M13" s="308">
        <f>J13-K13-L13</f>
        <v>0</v>
      </c>
      <c r="N13" s="309">
        <v>0</v>
      </c>
      <c r="O13" s="290">
        <f>J13-K13-N13</f>
        <v>2301.9299999999998</v>
      </c>
      <c r="P13" s="293">
        <f t="shared" si="10"/>
        <v>6.5000000000000006E-3</v>
      </c>
      <c r="Q13" s="280"/>
      <c r="R13" s="280">
        <f>10624.27/(3/100)</f>
        <v>354142.33333333337</v>
      </c>
      <c r="S13" s="310">
        <f t="shared" si="6"/>
        <v>8</v>
      </c>
      <c r="T13" s="311">
        <f t="shared" si="7"/>
        <v>44774</v>
      </c>
      <c r="U13" s="290">
        <f t="shared" si="13"/>
        <v>354142.33333333337</v>
      </c>
      <c r="V13" s="305">
        <f t="shared" si="14"/>
        <v>10624.27</v>
      </c>
      <c r="W13" s="306">
        <v>0</v>
      </c>
      <c r="X13" s="307">
        <v>10624.27</v>
      </c>
      <c r="Y13" s="308">
        <f t="shared" si="4"/>
        <v>0</v>
      </c>
      <c r="Z13" s="309">
        <v>0</v>
      </c>
      <c r="AA13" s="290">
        <f t="shared" si="11"/>
        <v>10624.27</v>
      </c>
      <c r="AB13" s="293">
        <f t="shared" si="12"/>
        <v>0.03</v>
      </c>
    </row>
    <row r="14" spans="2:28" s="278" customFormat="1" ht="33" customHeight="1">
      <c r="D14" s="312"/>
      <c r="E14" s="280"/>
      <c r="F14" s="280">
        <f>3151.1/(0.65/100)</f>
        <v>484784.61538461532</v>
      </c>
      <c r="G14" s="303">
        <f t="shared" si="5"/>
        <v>9</v>
      </c>
      <c r="H14" s="304">
        <v>44805</v>
      </c>
      <c r="I14" s="290">
        <f t="shared" si="15"/>
        <v>484784.61538461532</v>
      </c>
      <c r="J14" s="305">
        <f t="shared" si="16"/>
        <v>3151.1</v>
      </c>
      <c r="K14" s="306">
        <v>0</v>
      </c>
      <c r="L14" s="307">
        <v>3151.1</v>
      </c>
      <c r="M14" s="308">
        <f t="shared" si="8"/>
        <v>0</v>
      </c>
      <c r="N14" s="309">
        <v>0</v>
      </c>
      <c r="O14" s="290">
        <f t="shared" si="9"/>
        <v>3151.1</v>
      </c>
      <c r="P14" s="293">
        <f t="shared" si="10"/>
        <v>6.5000000000000006E-3</v>
      </c>
      <c r="Q14" s="280"/>
      <c r="R14" s="280">
        <f>14543.53/(3/100)</f>
        <v>484784.33333333337</v>
      </c>
      <c r="S14" s="310">
        <f t="shared" si="6"/>
        <v>9</v>
      </c>
      <c r="T14" s="311">
        <f t="shared" si="7"/>
        <v>44805</v>
      </c>
      <c r="U14" s="290">
        <f t="shared" si="13"/>
        <v>484784.33333333337</v>
      </c>
      <c r="V14" s="305">
        <f t="shared" si="14"/>
        <v>14543.53</v>
      </c>
      <c r="W14" s="306">
        <v>0</v>
      </c>
      <c r="X14" s="307">
        <v>14543.53</v>
      </c>
      <c r="Y14" s="308">
        <f t="shared" si="4"/>
        <v>0</v>
      </c>
      <c r="Z14" s="309">
        <v>0</v>
      </c>
      <c r="AA14" s="290">
        <f t="shared" si="11"/>
        <v>14543.53</v>
      </c>
      <c r="AB14" s="293">
        <f t="shared" si="12"/>
        <v>0.03</v>
      </c>
    </row>
    <row r="15" spans="2:28" s="278" customFormat="1" ht="33" customHeight="1">
      <c r="D15" s="280"/>
      <c r="E15" s="280"/>
      <c r="F15" s="280">
        <f>3019.75/(0.65/100)</f>
        <v>464576.92307692306</v>
      </c>
      <c r="G15" s="303">
        <f t="shared" si="5"/>
        <v>10</v>
      </c>
      <c r="H15" s="304">
        <v>44835</v>
      </c>
      <c r="I15" s="290">
        <f t="shared" si="15"/>
        <v>464576.92307692306</v>
      </c>
      <c r="J15" s="305">
        <f t="shared" si="16"/>
        <v>3019.75</v>
      </c>
      <c r="K15" s="306">
        <v>0</v>
      </c>
      <c r="L15" s="307">
        <v>3019.75</v>
      </c>
      <c r="M15" s="308">
        <f t="shared" si="8"/>
        <v>0</v>
      </c>
      <c r="N15" s="309">
        <v>0</v>
      </c>
      <c r="O15" s="290">
        <f t="shared" si="9"/>
        <v>3019.75</v>
      </c>
      <c r="P15" s="293">
        <f t="shared" si="10"/>
        <v>6.5000000000000006E-3</v>
      </c>
      <c r="Q15" s="280"/>
      <c r="R15" s="280">
        <f>13937.32/(3/100)</f>
        <v>464577.33333333331</v>
      </c>
      <c r="S15" s="310">
        <f t="shared" si="6"/>
        <v>10</v>
      </c>
      <c r="T15" s="311">
        <f t="shared" si="7"/>
        <v>44835</v>
      </c>
      <c r="U15" s="290">
        <f t="shared" si="13"/>
        <v>464577.33333333331</v>
      </c>
      <c r="V15" s="305">
        <f t="shared" si="14"/>
        <v>13937.32</v>
      </c>
      <c r="W15" s="306">
        <v>0</v>
      </c>
      <c r="X15" s="307">
        <v>13937.32</v>
      </c>
      <c r="Y15" s="308">
        <f t="shared" si="4"/>
        <v>0</v>
      </c>
      <c r="Z15" s="309">
        <v>0</v>
      </c>
      <c r="AA15" s="290">
        <f t="shared" si="11"/>
        <v>13937.32</v>
      </c>
      <c r="AB15" s="293">
        <f t="shared" si="12"/>
        <v>3.0000000000000002E-2</v>
      </c>
    </row>
    <row r="16" spans="2:28" s="278" customFormat="1" ht="33" customHeight="1">
      <c r="D16" s="280"/>
      <c r="E16" s="280"/>
      <c r="F16" s="280">
        <f>3789.15/(0.65/100)</f>
        <v>582946.15384615376</v>
      </c>
      <c r="G16" s="303">
        <f t="shared" si="5"/>
        <v>11</v>
      </c>
      <c r="H16" s="313">
        <v>44866</v>
      </c>
      <c r="I16" s="290">
        <f t="shared" si="15"/>
        <v>582946.15384615376</v>
      </c>
      <c r="J16" s="305">
        <f t="shared" si="16"/>
        <v>3789.1499999999996</v>
      </c>
      <c r="K16" s="306">
        <v>0</v>
      </c>
      <c r="L16" s="307">
        <v>3789.1439999999998</v>
      </c>
      <c r="M16" s="308">
        <f t="shared" si="8"/>
        <v>5.9999999998581188E-3</v>
      </c>
      <c r="N16" s="309">
        <v>0</v>
      </c>
      <c r="O16" s="290">
        <f t="shared" si="9"/>
        <v>3789.1499999999996</v>
      </c>
      <c r="P16" s="293">
        <f t="shared" si="10"/>
        <v>6.5000000000000006E-3</v>
      </c>
      <c r="Q16" s="280"/>
      <c r="R16" s="280">
        <f>17488.38/(3/100)</f>
        <v>582946</v>
      </c>
      <c r="S16" s="310">
        <f t="shared" si="6"/>
        <v>11</v>
      </c>
      <c r="T16" s="311">
        <f t="shared" si="7"/>
        <v>44866</v>
      </c>
      <c r="U16" s="290">
        <f t="shared" si="13"/>
        <v>582946</v>
      </c>
      <c r="V16" s="305">
        <f t="shared" si="14"/>
        <v>17488.38</v>
      </c>
      <c r="W16" s="306">
        <v>0</v>
      </c>
      <c r="X16" s="307">
        <v>17488.38</v>
      </c>
      <c r="Y16" s="308">
        <f t="shared" si="4"/>
        <v>0</v>
      </c>
      <c r="Z16" s="309">
        <v>0</v>
      </c>
      <c r="AA16" s="290">
        <f t="shared" si="11"/>
        <v>17488.38</v>
      </c>
      <c r="AB16" s="293">
        <f t="shared" si="12"/>
        <v>3.0000000000000002E-2</v>
      </c>
    </row>
    <row r="17" spans="4:28" s="278" customFormat="1" ht="33" customHeight="1" thickBot="1">
      <c r="D17" s="280"/>
      <c r="E17" s="280"/>
      <c r="F17" s="280">
        <f>3913.62/(0.65/100)</f>
        <v>602095.38461538451</v>
      </c>
      <c r="G17" s="314">
        <f t="shared" si="5"/>
        <v>12</v>
      </c>
      <c r="H17" s="315">
        <v>44896</v>
      </c>
      <c r="I17" s="290">
        <f t="shared" si="15"/>
        <v>602095.38461538451</v>
      </c>
      <c r="J17" s="305">
        <f t="shared" si="16"/>
        <v>3913.6199999999994</v>
      </c>
      <c r="K17" s="306">
        <v>0</v>
      </c>
      <c r="L17" s="307">
        <v>3913.62</v>
      </c>
      <c r="M17" s="308">
        <f t="shared" si="8"/>
        <v>0</v>
      </c>
      <c r="N17" s="309">
        <v>0</v>
      </c>
      <c r="O17" s="290">
        <f t="shared" si="9"/>
        <v>3913.6199999999994</v>
      </c>
      <c r="P17" s="293">
        <f t="shared" si="10"/>
        <v>6.5000000000000006E-3</v>
      </c>
      <c r="Q17" s="280"/>
      <c r="R17" s="280">
        <f>18062.85/(3/100)</f>
        <v>602095</v>
      </c>
      <c r="S17" s="316">
        <f t="shared" si="6"/>
        <v>12</v>
      </c>
      <c r="T17" s="311">
        <f t="shared" si="7"/>
        <v>44896</v>
      </c>
      <c r="U17" s="290">
        <f t="shared" si="13"/>
        <v>602095</v>
      </c>
      <c r="V17" s="305">
        <f t="shared" si="14"/>
        <v>18062.849999999999</v>
      </c>
      <c r="W17" s="306">
        <v>0</v>
      </c>
      <c r="X17" s="307">
        <v>18062.849999999999</v>
      </c>
      <c r="Y17" s="308">
        <f>V17-W17-X17</f>
        <v>0</v>
      </c>
      <c r="Z17" s="309">
        <v>0</v>
      </c>
      <c r="AA17" s="290">
        <f t="shared" si="11"/>
        <v>18062.849999999999</v>
      </c>
      <c r="AB17" s="293">
        <f t="shared" si="12"/>
        <v>0.03</v>
      </c>
    </row>
    <row r="18" spans="4:28" s="278" customFormat="1" ht="33" customHeight="1" thickBot="1">
      <c r="D18" s="317"/>
      <c r="E18" s="280"/>
      <c r="F18" s="280"/>
      <c r="G18" s="1030" t="s">
        <v>36</v>
      </c>
      <c r="H18" s="1031"/>
      <c r="I18" s="318">
        <f>SUM(I6:I17)</f>
        <v>5443130.7692307699</v>
      </c>
      <c r="J18" s="319"/>
      <c r="K18" s="1032" t="s">
        <v>37</v>
      </c>
      <c r="L18" s="1032"/>
      <c r="M18" s="1032"/>
      <c r="N18" s="1032"/>
      <c r="O18" s="1033"/>
      <c r="P18" s="320">
        <f>IFERROR(AVERAGE(P6:P17), " ")</f>
        <v>6.5000000000000014E-3</v>
      </c>
      <c r="S18" s="1034" t="s">
        <v>36</v>
      </c>
      <c r="T18" s="1035"/>
      <c r="U18" s="321">
        <f>SUM(U6:U17)</f>
        <v>5443130.7666666666</v>
      </c>
      <c r="V18" s="322"/>
      <c r="W18" s="1013" t="s">
        <v>38</v>
      </c>
      <c r="X18" s="1013"/>
      <c r="Y18" s="1013"/>
      <c r="Z18" s="1013"/>
      <c r="AA18" s="1014"/>
      <c r="AB18" s="323">
        <f>IFERROR(AVERAGE(AB6:AB17)," ")</f>
        <v>3.0000000000000009E-2</v>
      </c>
    </row>
    <row r="19" spans="4:28" s="278" customFormat="1" ht="33" customHeight="1">
      <c r="D19" s="280"/>
      <c r="E19" s="280"/>
      <c r="F19" s="280"/>
      <c r="G19" s="324" t="s">
        <v>39</v>
      </c>
      <c r="H19" s="279"/>
      <c r="I19" s="280"/>
      <c r="K19" s="280"/>
      <c r="L19" s="280"/>
      <c r="P19" s="281"/>
      <c r="Q19" s="282"/>
      <c r="R19" s="282"/>
      <c r="S19" s="324" t="s">
        <v>39</v>
      </c>
      <c r="T19" s="279"/>
      <c r="U19" s="280"/>
      <c r="W19" s="280"/>
      <c r="X19" s="280"/>
      <c r="AB19" s="281"/>
    </row>
    <row r="20" spans="4:28" s="278" customFormat="1" ht="33" customHeight="1">
      <c r="E20" s="280"/>
      <c r="F20" s="280"/>
      <c r="G20" s="291" t="s">
        <v>40</v>
      </c>
      <c r="H20" s="1037" t="s">
        <v>41</v>
      </c>
      <c r="I20" s="1038"/>
      <c r="J20" s="1038"/>
      <c r="K20" s="1038"/>
      <c r="L20" s="1038"/>
      <c r="M20" s="1038"/>
      <c r="N20" s="1038"/>
      <c r="O20" s="1038"/>
      <c r="P20" s="1039"/>
      <c r="S20" s="291" t="s">
        <v>40</v>
      </c>
      <c r="T20" s="1037" t="s">
        <v>41</v>
      </c>
      <c r="U20" s="1038"/>
      <c r="V20" s="1038"/>
      <c r="W20" s="1038"/>
      <c r="X20" s="1038"/>
      <c r="Y20" s="1038"/>
      <c r="Z20" s="1038"/>
      <c r="AA20" s="1038"/>
      <c r="AB20" s="1039"/>
    </row>
    <row r="21" spans="4:28" ht="36" customHeight="1">
      <c r="G21" s="291" t="s">
        <v>42</v>
      </c>
      <c r="H21" s="1037" t="s">
        <v>43</v>
      </c>
      <c r="I21" s="1038"/>
      <c r="J21" s="1038"/>
      <c r="K21" s="1038"/>
      <c r="L21" s="1038"/>
      <c r="M21" s="1038"/>
      <c r="N21" s="1038"/>
      <c r="O21" s="1038"/>
      <c r="P21" s="1039"/>
      <c r="S21" s="291" t="s">
        <v>42</v>
      </c>
      <c r="T21" s="1037" t="s">
        <v>43</v>
      </c>
      <c r="U21" s="1038"/>
      <c r="V21" s="1038"/>
      <c r="W21" s="1038"/>
      <c r="X21" s="1038"/>
      <c r="Y21" s="1038"/>
      <c r="Z21" s="1038"/>
      <c r="AA21" s="1038"/>
      <c r="AB21" s="1039"/>
    </row>
    <row r="22" spans="4:28" ht="72" customHeight="1">
      <c r="G22" s="291" t="s">
        <v>44</v>
      </c>
      <c r="H22" s="1040" t="s">
        <v>45</v>
      </c>
      <c r="I22" s="1041"/>
      <c r="J22" s="1041"/>
      <c r="K22" s="1041"/>
      <c r="L22" s="1041"/>
      <c r="M22" s="1041"/>
      <c r="N22" s="1041"/>
      <c r="O22" s="1041"/>
      <c r="P22" s="1042"/>
      <c r="S22" s="291" t="s">
        <v>44</v>
      </c>
      <c r="T22" s="1040" t="s">
        <v>45</v>
      </c>
      <c r="U22" s="1041"/>
      <c r="V22" s="1041"/>
      <c r="W22" s="1041"/>
      <c r="X22" s="1041"/>
      <c r="Y22" s="1041"/>
      <c r="Z22" s="1041"/>
      <c r="AA22" s="1041"/>
      <c r="AB22" s="1042"/>
    </row>
    <row r="23" spans="4:28" ht="36" customHeight="1"/>
    <row r="24" spans="4:28" s="278" customFormat="1">
      <c r="E24" s="308" t="s">
        <v>52</v>
      </c>
      <c r="F24" s="308"/>
      <c r="G24" s="326" t="s">
        <v>46</v>
      </c>
      <c r="H24" s="327" t="s">
        <v>47</v>
      </c>
      <c r="I24" s="308" t="s">
        <v>48</v>
      </c>
      <c r="J24" s="328" t="s">
        <v>49</v>
      </c>
      <c r="K24" s="280"/>
      <c r="L24" s="280"/>
      <c r="P24" s="281"/>
      <c r="U24" s="280"/>
      <c r="W24" s="280"/>
      <c r="X24" s="280"/>
      <c r="Y24" s="280"/>
      <c r="Z24" s="280"/>
      <c r="AA24" s="280"/>
    </row>
    <row r="35" spans="3:7">
      <c r="C35" s="1043" t="s">
        <v>653</v>
      </c>
      <c r="D35" s="1044"/>
      <c r="E35" s="1045"/>
      <c r="F35" s="329"/>
      <c r="G35" s="330"/>
    </row>
    <row r="36" spans="3:7" ht="21" thickBot="1">
      <c r="C36" s="331" t="s">
        <v>654</v>
      </c>
      <c r="D36" s="332" t="s">
        <v>655</v>
      </c>
      <c r="E36" s="333" t="str">
        <f>IF(E40&gt;=E37,"ok","desclassificar")</f>
        <v>ok</v>
      </c>
      <c r="F36" s="334"/>
      <c r="G36" s="335"/>
    </row>
    <row r="37" spans="3:7" ht="21" thickTop="1">
      <c r="C37" s="336" t="s">
        <v>656</v>
      </c>
      <c r="D37" s="337">
        <v>593719.68000000005</v>
      </c>
      <c r="E37" s="338">
        <f>10/100*D37</f>
        <v>59371.968000000008</v>
      </c>
      <c r="F37" s="339"/>
      <c r="G37" s="335"/>
    </row>
    <row r="38" spans="3:7" ht="23.25">
      <c r="C38" s="1046" t="s">
        <v>657</v>
      </c>
      <c r="D38" s="1046"/>
      <c r="E38" s="1046"/>
      <c r="F38" s="340"/>
      <c r="G38" s="335"/>
    </row>
    <row r="39" spans="3:7" ht="23.25">
      <c r="C39" s="1036" t="s">
        <v>658</v>
      </c>
      <c r="D39" s="1036"/>
      <c r="E39" s="341">
        <f>745931.14</f>
        <v>745931.14</v>
      </c>
      <c r="F39" s="342"/>
      <c r="G39" s="335"/>
    </row>
    <row r="40" spans="3:7" ht="24" thickBot="1">
      <c r="C40" s="1036" t="s">
        <v>659</v>
      </c>
      <c r="D40" s="1036"/>
      <c r="E40" s="343">
        <v>2414610.37</v>
      </c>
      <c r="F40" s="344"/>
      <c r="G40" s="335"/>
    </row>
    <row r="41" spans="3:7" ht="24" thickTop="1">
      <c r="C41" s="1036" t="s">
        <v>660</v>
      </c>
      <c r="D41" s="1036"/>
      <c r="E41" s="341">
        <v>4972206.9800000004</v>
      </c>
      <c r="F41" s="345"/>
      <c r="G41" s="346" t="s">
        <v>661</v>
      </c>
    </row>
    <row r="42" spans="3:7" ht="23.25">
      <c r="C42" s="1036" t="s">
        <v>890</v>
      </c>
      <c r="D42" s="1036"/>
      <c r="E42" s="341">
        <f>E40/E39</f>
        <v>3.2370419205182936</v>
      </c>
      <c r="F42" s="347"/>
      <c r="G42" s="348" t="str">
        <f>IF(E42&gt;=1,"ok","desclassificar")</f>
        <v>ok</v>
      </c>
    </row>
    <row r="43" spans="3:7" ht="24" thickBot="1">
      <c r="C43" s="1036" t="s">
        <v>662</v>
      </c>
      <c r="D43" s="1036"/>
      <c r="E43" s="349">
        <f>(E41/12-E39)/(E41/12)</f>
        <v>-0.80024156596956453</v>
      </c>
      <c r="F43" s="350"/>
      <c r="G43" s="351" t="str">
        <f>IF(ABS(E43)&lt;=10%,"ok","justificar")</f>
        <v>justificar</v>
      </c>
    </row>
    <row r="44" spans="3:7" ht="18.75" thickTop="1"/>
    <row r="50" spans="5:28" hidden="1"/>
    <row r="51" spans="5:28" hidden="1">
      <c r="E51" s="283"/>
      <c r="F51" s="284"/>
      <c r="G51" s="1016" t="s">
        <v>1</v>
      </c>
      <c r="H51" s="1017"/>
      <c r="I51" s="1018"/>
      <c r="J51" s="285" t="s">
        <v>2</v>
      </c>
      <c r="S51" s="1019" t="s">
        <v>1</v>
      </c>
      <c r="T51" s="1020"/>
      <c r="U51" s="1020"/>
      <c r="V51" s="286" t="s">
        <v>3</v>
      </c>
    </row>
    <row r="52" spans="5:28" hidden="1">
      <c r="E52" s="283" t="s">
        <v>649</v>
      </c>
      <c r="F52" s="284" t="s">
        <v>650</v>
      </c>
      <c r="G52" s="1021" t="s">
        <v>4</v>
      </c>
      <c r="H52" s="1023" t="s">
        <v>5</v>
      </c>
      <c r="I52" s="287" t="s">
        <v>6</v>
      </c>
      <c r="J52" s="288" t="s">
        <v>7</v>
      </c>
      <c r="K52" s="289" t="s">
        <v>8</v>
      </c>
      <c r="L52" s="290" t="s">
        <v>9</v>
      </c>
      <c r="M52" s="291" t="s">
        <v>10</v>
      </c>
      <c r="N52" s="291" t="s">
        <v>11</v>
      </c>
      <c r="O52" s="292" t="s">
        <v>12</v>
      </c>
      <c r="P52" s="293" t="s">
        <v>13</v>
      </c>
      <c r="Q52" s="278" t="s">
        <v>649</v>
      </c>
      <c r="R52" s="278" t="s">
        <v>650</v>
      </c>
      <c r="S52" s="1025" t="s">
        <v>4</v>
      </c>
      <c r="T52" s="1026" t="s">
        <v>5</v>
      </c>
      <c r="U52" s="291" t="s">
        <v>6</v>
      </c>
      <c r="V52" s="288" t="s">
        <v>7</v>
      </c>
      <c r="W52" s="289" t="s">
        <v>8</v>
      </c>
      <c r="X52" s="290" t="s">
        <v>9</v>
      </c>
      <c r="Y52" s="291" t="s">
        <v>10</v>
      </c>
      <c r="Z52" s="291" t="s">
        <v>11</v>
      </c>
      <c r="AA52" s="292" t="s">
        <v>12</v>
      </c>
      <c r="AB52" s="293" t="s">
        <v>13</v>
      </c>
    </row>
    <row r="53" spans="5:28" ht="72" hidden="1">
      <c r="E53" s="295" t="s">
        <v>651</v>
      </c>
      <c r="F53" s="295" t="s">
        <v>651</v>
      </c>
      <c r="G53" s="1022"/>
      <c r="H53" s="1024"/>
      <c r="I53" s="296" t="s">
        <v>16</v>
      </c>
      <c r="J53" s="297" t="s">
        <v>17</v>
      </c>
      <c r="K53" s="298" t="s">
        <v>18</v>
      </c>
      <c r="L53" s="299" t="s">
        <v>50</v>
      </c>
      <c r="M53" s="299" t="s">
        <v>19</v>
      </c>
      <c r="N53" s="300" t="s">
        <v>20</v>
      </c>
      <c r="O53" s="300" t="s">
        <v>21</v>
      </c>
      <c r="P53" s="301" t="s">
        <v>22</v>
      </c>
      <c r="Q53" s="295" t="s">
        <v>652</v>
      </c>
      <c r="R53" s="295" t="s">
        <v>652</v>
      </c>
      <c r="S53" s="1025"/>
      <c r="T53" s="1026"/>
      <c r="U53" s="302" t="s">
        <v>16</v>
      </c>
      <c r="V53" s="297" t="s">
        <v>23</v>
      </c>
      <c r="W53" s="298" t="s">
        <v>18</v>
      </c>
      <c r="X53" s="299" t="s">
        <v>51</v>
      </c>
      <c r="Y53" s="299" t="s">
        <v>19</v>
      </c>
      <c r="Z53" s="300" t="s">
        <v>20</v>
      </c>
      <c r="AA53" s="300" t="s">
        <v>24</v>
      </c>
      <c r="AB53" s="301" t="s">
        <v>25</v>
      </c>
    </row>
    <row r="54" spans="5:28" hidden="1">
      <c r="E54" s="280">
        <f>45690.9/(1.65/100)</f>
        <v>2769145.4545454546</v>
      </c>
      <c r="F54" s="280"/>
      <c r="G54" s="310">
        <v>1</v>
      </c>
      <c r="H54" s="304">
        <v>44197</v>
      </c>
      <c r="I54" s="290">
        <f>E54</f>
        <v>2769145.4545454546</v>
      </c>
      <c r="J54" s="305">
        <f>1.65/100*I54</f>
        <v>45690.9</v>
      </c>
      <c r="K54" s="306">
        <v>34785.11</v>
      </c>
      <c r="L54" s="307">
        <v>10905.79</v>
      </c>
      <c r="M54" s="308">
        <f>J54-K54-L54</f>
        <v>0</v>
      </c>
      <c r="N54" s="309">
        <v>0</v>
      </c>
      <c r="O54" s="290">
        <f>J54-K54-N54</f>
        <v>10905.79</v>
      </c>
      <c r="P54" s="293">
        <f>IFERROR(O54/I54, " ")</f>
        <v>3.938323276626199E-3</v>
      </c>
      <c r="Q54" s="280">
        <f>210455.03/(7.6/100)</f>
        <v>2769145.1315789474</v>
      </c>
      <c r="R54" s="280"/>
      <c r="S54" s="310">
        <v>1</v>
      </c>
      <c r="T54" s="304">
        <f>H54</f>
        <v>44197</v>
      </c>
      <c r="U54" s="290">
        <f>Q54</f>
        <v>2769145.1315789474</v>
      </c>
      <c r="V54" s="305">
        <f>7.6/100*U54</f>
        <v>210455.03</v>
      </c>
      <c r="W54" s="306">
        <v>160222.34</v>
      </c>
      <c r="X54" s="307">
        <v>50232.69</v>
      </c>
      <c r="Y54" s="308">
        <f t="shared" ref="Y54:Y65" si="17">V54-W54-X54</f>
        <v>0</v>
      </c>
      <c r="Z54" s="309">
        <v>0</v>
      </c>
      <c r="AA54" s="290">
        <f>V54-W54-Z54</f>
        <v>50232.69</v>
      </c>
      <c r="AB54" s="293">
        <f>IFERROR(AA54/U54, " ")</f>
        <v>1.8140143478632943E-2</v>
      </c>
    </row>
    <row r="55" spans="5:28" hidden="1">
      <c r="E55" s="280">
        <f>60111.06/(1.65/100)</f>
        <v>3643094.5454545449</v>
      </c>
      <c r="F55" s="280"/>
      <c r="G55" s="310">
        <f t="shared" ref="G55" si="18">1+G54</f>
        <v>2</v>
      </c>
      <c r="H55" s="304">
        <v>44228</v>
      </c>
      <c r="I55" s="290">
        <f t="shared" ref="I55" si="19">E55</f>
        <v>3643094.5454545449</v>
      </c>
      <c r="J55" s="305">
        <f t="shared" ref="J55" si="20">1.65/100*I55</f>
        <v>60111.06</v>
      </c>
      <c r="K55" s="306">
        <v>42121.89</v>
      </c>
      <c r="L55" s="307">
        <v>17989.169999999998</v>
      </c>
      <c r="M55" s="308">
        <f>J55-K55-L55</f>
        <v>0</v>
      </c>
      <c r="N55" s="309">
        <v>0</v>
      </c>
      <c r="O55" s="290">
        <f>J55-K55-N55</f>
        <v>17989.169999999998</v>
      </c>
      <c r="P55" s="293">
        <f>IFERROR(O55/I55, " ")</f>
        <v>4.9378817309160749E-3</v>
      </c>
      <c r="Q55" s="280">
        <f>276875.17/(7.6/100)</f>
        <v>3643094.3421052629</v>
      </c>
      <c r="R55" s="280"/>
      <c r="S55" s="310">
        <f t="shared" ref="S55" si="21">S54+1</f>
        <v>2</v>
      </c>
      <c r="T55" s="304">
        <f t="shared" ref="T55" si="22">H55</f>
        <v>44228</v>
      </c>
      <c r="U55" s="290">
        <f>Q55</f>
        <v>3643094.3421052629</v>
      </c>
      <c r="V55" s="305">
        <f t="shared" ref="V55" si="23">7.6/100*U55</f>
        <v>276875.17</v>
      </c>
      <c r="W55" s="306">
        <v>194015.98</v>
      </c>
      <c r="X55" s="307">
        <v>82859.19</v>
      </c>
      <c r="Y55" s="308">
        <f t="shared" si="17"/>
        <v>0</v>
      </c>
      <c r="Z55" s="309">
        <v>0</v>
      </c>
      <c r="AA55" s="290">
        <f>V55-W55-Z55</f>
        <v>82859.189999999973</v>
      </c>
      <c r="AB55" s="293">
        <f>IFERROR(AA55/U55, " ")</f>
        <v>2.2744179046463423E-2</v>
      </c>
    </row>
    <row r="56" spans="5:28" hidden="1">
      <c r="E56" s="352">
        <f>((65201.03)/(1.65/100))</f>
        <v>3951577.5757575757</v>
      </c>
      <c r="F56" s="352"/>
      <c r="G56" s="310">
        <v>1</v>
      </c>
      <c r="H56" s="304">
        <v>44256</v>
      </c>
      <c r="I56" s="290">
        <f>E56</f>
        <v>3951577.5757575757</v>
      </c>
      <c r="J56" s="305">
        <f>1.65/100*I56</f>
        <v>65201.03</v>
      </c>
      <c r="K56" s="306">
        <v>44872.72</v>
      </c>
      <c r="L56" s="307">
        <v>20328.310000000001</v>
      </c>
      <c r="M56" s="308">
        <f>J56-K56-L56</f>
        <v>0</v>
      </c>
      <c r="N56" s="309">
        <v>0</v>
      </c>
      <c r="O56" s="290">
        <f>J56-K56-N56</f>
        <v>20328.309999999998</v>
      </c>
      <c r="P56" s="293">
        <f>IFERROR(O56/I56, " ")</f>
        <v>5.144353010987709E-3</v>
      </c>
      <c r="Q56" s="352">
        <f>300319.91/(7.6/100)</f>
        <v>3951577.7631578944</v>
      </c>
      <c r="R56" s="352"/>
      <c r="S56" s="310">
        <v>1</v>
      </c>
      <c r="T56" s="304">
        <f>H56</f>
        <v>44256</v>
      </c>
      <c r="U56" s="290">
        <f>Q56</f>
        <v>3951577.7631578944</v>
      </c>
      <c r="V56" s="305">
        <f>7.6/100*U56</f>
        <v>300319.90999999997</v>
      </c>
      <c r="W56" s="306">
        <v>206686.45</v>
      </c>
      <c r="X56" s="307">
        <v>93633.46</v>
      </c>
      <c r="Y56" s="308">
        <f t="shared" si="17"/>
        <v>0</v>
      </c>
      <c r="Z56" s="309">
        <v>0</v>
      </c>
      <c r="AA56" s="290">
        <f>V56-W56-Z56</f>
        <v>93633.459999999963</v>
      </c>
      <c r="AB56" s="293">
        <f>IFERROR(AA56/U56, " ")</f>
        <v>2.3695208752559888E-2</v>
      </c>
    </row>
    <row r="57" spans="5:28" hidden="1">
      <c r="E57" s="353">
        <f>61661.53/(1.65/100)+4228.88/(0.65/100)</f>
        <v>4387659.3473193469</v>
      </c>
      <c r="F57" s="353"/>
      <c r="G57" s="310">
        <f t="shared" ref="G57:G65" si="24">1+G56</f>
        <v>2</v>
      </c>
      <c r="H57" s="304">
        <v>44287</v>
      </c>
      <c r="I57" s="290">
        <f t="shared" ref="I57" si="25">E57</f>
        <v>4387659.3473193469</v>
      </c>
      <c r="J57" s="305">
        <f>1.65/100*(I57-4228.88/(0.65/100))+0.65/100*(4228.88/(0.65/100))</f>
        <v>65890.41</v>
      </c>
      <c r="K57" s="306">
        <v>42925.05</v>
      </c>
      <c r="L57" s="307">
        <f>18736.48+4228.88</f>
        <v>22965.360000000001</v>
      </c>
      <c r="M57" s="308">
        <f>J57-K57-L57</f>
        <v>0</v>
      </c>
      <c r="N57" s="309">
        <v>0</v>
      </c>
      <c r="O57" s="290">
        <f>J57-K57-N57</f>
        <v>22965.360000000001</v>
      </c>
      <c r="P57" s="293">
        <f>IFERROR(O57/I57, " ")</f>
        <v>5.234079991654492E-3</v>
      </c>
      <c r="Q57" s="280">
        <f>284016.75/(7.6/100)</f>
        <v>3737062.5</v>
      </c>
      <c r="R57" s="280">
        <f>19517.9/(3/100)</f>
        <v>650596.66666666674</v>
      </c>
      <c r="S57" s="310">
        <f t="shared" ref="S57:S65" si="26">S56+1</f>
        <v>2</v>
      </c>
      <c r="T57" s="304">
        <f t="shared" ref="T57:T65" si="27">H57</f>
        <v>44287</v>
      </c>
      <c r="U57" s="290">
        <f>Q57+R57</f>
        <v>4387659.166666667</v>
      </c>
      <c r="V57" s="305">
        <f>7.6/100*Q57+3/100*R57</f>
        <v>303534.65000000002</v>
      </c>
      <c r="W57" s="306">
        <f>197715.38</f>
        <v>197715.38</v>
      </c>
      <c r="X57" s="307">
        <f>86301.37+19517.9</f>
        <v>105819.26999999999</v>
      </c>
      <c r="Y57" s="308">
        <f t="shared" si="17"/>
        <v>0</v>
      </c>
      <c r="Z57" s="309">
        <v>0</v>
      </c>
      <c r="AA57" s="290">
        <f>V57-W57-Z57</f>
        <v>105819.27000000002</v>
      </c>
      <c r="AB57" s="293">
        <f>IFERROR(AA57/U57, " ")</f>
        <v>2.4117477219724796E-2</v>
      </c>
    </row>
    <row r="58" spans="5:28" hidden="1">
      <c r="E58" s="280">
        <f>55913.1/(1.65/100)</f>
        <v>3388672.7272727271</v>
      </c>
      <c r="F58" s="280">
        <f>4228.88/(0.65/100)</f>
        <v>650596.92307692301</v>
      </c>
      <c r="G58" s="310">
        <f t="shared" si="24"/>
        <v>3</v>
      </c>
      <c r="H58" s="304">
        <v>44317</v>
      </c>
      <c r="I58" s="290">
        <f>E58+F58</f>
        <v>4039269.6503496501</v>
      </c>
      <c r="J58" s="305">
        <f>1.65/100*E58+0.65/100*F58</f>
        <v>60141.979999999996</v>
      </c>
      <c r="K58" s="306">
        <v>43073.05</v>
      </c>
      <c r="L58" s="307">
        <f>12840.05+4228.88</f>
        <v>17068.93</v>
      </c>
      <c r="M58" s="308">
        <f t="shared" ref="M58:M62" si="28">J58-K58-L58</f>
        <v>0</v>
      </c>
      <c r="N58" s="309">
        <v>0</v>
      </c>
      <c r="O58" s="290">
        <f t="shared" ref="O58:O62" si="29">J58-K58-N58</f>
        <v>17068.929999999993</v>
      </c>
      <c r="P58" s="293">
        <f t="shared" ref="P58:P65" si="30">IFERROR(O58/I58, " ")</f>
        <v>4.2257466021171572E-3</v>
      </c>
      <c r="Q58" s="280">
        <f>257549.86/(7.6/100)</f>
        <v>3388813.9473684211</v>
      </c>
      <c r="R58" s="280">
        <f>19517.9/(3/100)</f>
        <v>650596.66666666674</v>
      </c>
      <c r="S58" s="310">
        <f t="shared" si="26"/>
        <v>3</v>
      </c>
      <c r="T58" s="304">
        <f t="shared" si="27"/>
        <v>44317</v>
      </c>
      <c r="U58" s="290">
        <f>Q58+R58</f>
        <v>4039410.6140350876</v>
      </c>
      <c r="V58" s="305">
        <f>7.6/100*Q58+3/100*R58</f>
        <v>277067.76</v>
      </c>
      <c r="W58" s="306">
        <v>198397.08</v>
      </c>
      <c r="X58" s="307">
        <f>59152.78+19517.9</f>
        <v>78670.679999999993</v>
      </c>
      <c r="Y58" s="308">
        <f t="shared" si="17"/>
        <v>0</v>
      </c>
      <c r="Z58" s="309">
        <v>0</v>
      </c>
      <c r="AA58" s="290">
        <f t="shared" ref="AA58:AA65" si="31">V58-W58-Z58</f>
        <v>78670.680000000022</v>
      </c>
      <c r="AB58" s="293">
        <f t="shared" ref="AB58:AB65" si="32">IFERROR(AA58/U58, " ")</f>
        <v>1.9475781869428107E-2</v>
      </c>
    </row>
    <row r="59" spans="5:28" hidden="1">
      <c r="E59" s="282">
        <f>55354.48/(1.65/100)</f>
        <v>3354816.9696969697</v>
      </c>
      <c r="F59" s="280">
        <f>4228.88/(0.65/100)</f>
        <v>650596.92307692301</v>
      </c>
      <c r="G59" s="310">
        <f t="shared" si="24"/>
        <v>4</v>
      </c>
      <c r="H59" s="304">
        <v>44348</v>
      </c>
      <c r="I59" s="290">
        <f>E59+F59</f>
        <v>4005413.8927738927</v>
      </c>
      <c r="J59" s="305">
        <f>1.65/100*E59+0.65/100*F59</f>
        <v>59583.360000000001</v>
      </c>
      <c r="K59" s="306">
        <v>42623.34</v>
      </c>
      <c r="L59" s="307">
        <f>12731.14+4228.88</f>
        <v>16960.02</v>
      </c>
      <c r="M59" s="308">
        <f t="shared" si="28"/>
        <v>0</v>
      </c>
      <c r="N59" s="309">
        <v>0</v>
      </c>
      <c r="O59" s="290">
        <f t="shared" si="29"/>
        <v>16960.020000000004</v>
      </c>
      <c r="P59" s="293">
        <f t="shared" si="30"/>
        <v>4.234274023615218E-3</v>
      </c>
      <c r="Q59" s="282">
        <f>255014.08/(7.6/100)</f>
        <v>3355448.4210526315</v>
      </c>
      <c r="R59" s="280">
        <f>19517.9/(3/100)</f>
        <v>650596.66666666674</v>
      </c>
      <c r="S59" s="310">
        <f t="shared" si="26"/>
        <v>4</v>
      </c>
      <c r="T59" s="304">
        <f t="shared" si="27"/>
        <v>44348</v>
      </c>
      <c r="U59" s="290">
        <f>Q59+R59</f>
        <v>4006045.087719298</v>
      </c>
      <c r="V59" s="305">
        <f>7.6/100*Q59+3/100*R59</f>
        <v>274531.98</v>
      </c>
      <c r="W59" s="306">
        <v>196325.7</v>
      </c>
      <c r="X59" s="307">
        <f>58688.38+19517.9</f>
        <v>78206.28</v>
      </c>
      <c r="Y59" s="308">
        <f t="shared" si="17"/>
        <v>0</v>
      </c>
      <c r="Z59" s="309">
        <v>0</v>
      </c>
      <c r="AA59" s="290">
        <f t="shared" si="31"/>
        <v>78206.27999999997</v>
      </c>
      <c r="AB59" s="293">
        <f t="shared" si="32"/>
        <v>1.9522066848359908E-2</v>
      </c>
    </row>
    <row r="60" spans="5:28" hidden="1">
      <c r="E60" s="280">
        <f>(52516.88/(1.65/100))</f>
        <v>3182841.2121212119</v>
      </c>
      <c r="F60" s="280">
        <f>5839.93/(0.65/100)</f>
        <v>898450.76923076925</v>
      </c>
      <c r="G60" s="310">
        <f t="shared" si="24"/>
        <v>5</v>
      </c>
      <c r="H60" s="304">
        <v>44378</v>
      </c>
      <c r="I60" s="290">
        <f>E60+F60</f>
        <v>4081291.9813519809</v>
      </c>
      <c r="J60" s="305">
        <f>1.65/100*E60+0.65/100*F60</f>
        <v>58356.81</v>
      </c>
      <c r="K60" s="306">
        <f>35496.35</f>
        <v>35496.35</v>
      </c>
      <c r="L60" s="307">
        <f>17020.53+5839.93</f>
        <v>22860.46</v>
      </c>
      <c r="M60" s="308">
        <f t="shared" si="28"/>
        <v>0</v>
      </c>
      <c r="N60" s="309">
        <v>0</v>
      </c>
      <c r="O60" s="290">
        <f t="shared" si="29"/>
        <v>22860.46</v>
      </c>
      <c r="P60" s="293">
        <f t="shared" si="30"/>
        <v>5.6012802084371271E-3</v>
      </c>
      <c r="Q60" s="280">
        <f>241943.21/(7.6/100)</f>
        <v>3183463.289473684</v>
      </c>
      <c r="R60" s="280">
        <f>26953.54/(3/100)</f>
        <v>898451.33333333337</v>
      </c>
      <c r="S60" s="310">
        <f t="shared" si="26"/>
        <v>5</v>
      </c>
      <c r="T60" s="304">
        <f t="shared" si="27"/>
        <v>44378</v>
      </c>
      <c r="U60" s="290">
        <f>Q60+R60</f>
        <v>4081914.6228070175</v>
      </c>
      <c r="V60" s="305">
        <f>7.6/100*Q60+3/100*R60</f>
        <v>268896.75</v>
      </c>
      <c r="W60" s="306">
        <f>163498.33</f>
        <v>163498.32999999999</v>
      </c>
      <c r="X60" s="307">
        <f>78444.88+26953.54</f>
        <v>105398.42000000001</v>
      </c>
      <c r="Y60" s="308">
        <f t="shared" si="17"/>
        <v>0</v>
      </c>
      <c r="Z60" s="309">
        <v>0</v>
      </c>
      <c r="AA60" s="290">
        <f t="shared" si="31"/>
        <v>105398.42000000001</v>
      </c>
      <c r="AB60" s="293">
        <f t="shared" si="32"/>
        <v>2.5820829130306623E-2</v>
      </c>
    </row>
    <row r="61" spans="5:28" hidden="1">
      <c r="E61" s="280">
        <f>56613.71/(1.65/100)</f>
        <v>3431133.939393939</v>
      </c>
      <c r="F61" s="280">
        <f>6147.3/(0.65/100)</f>
        <v>945738.4615384615</v>
      </c>
      <c r="G61" s="310">
        <f t="shared" si="24"/>
        <v>6</v>
      </c>
      <c r="H61" s="304">
        <v>44409</v>
      </c>
      <c r="I61" s="290">
        <f>E61+F61</f>
        <v>4376872.4009324005</v>
      </c>
      <c r="J61" s="305">
        <f>1.65/100*E61+0.65/100*F61</f>
        <v>62761.01</v>
      </c>
      <c r="K61" s="306">
        <f>34513.15</f>
        <v>34513.15</v>
      </c>
      <c r="L61" s="307">
        <f>22100.56+6147.3</f>
        <v>28247.86</v>
      </c>
      <c r="M61" s="308">
        <f t="shared" si="28"/>
        <v>0</v>
      </c>
      <c r="N61" s="309">
        <v>0</v>
      </c>
      <c r="O61" s="290">
        <f t="shared" si="29"/>
        <v>28247.86</v>
      </c>
      <c r="P61" s="293">
        <f t="shared" si="30"/>
        <v>6.4538915948251976E-3</v>
      </c>
      <c r="Q61" s="280">
        <f>260846.65/(7.6/100)</f>
        <v>3432192.7631578948</v>
      </c>
      <c r="R61" s="280">
        <f>28372.15/(3/100)</f>
        <v>945738.33333333337</v>
      </c>
      <c r="S61" s="310">
        <f t="shared" si="26"/>
        <v>6</v>
      </c>
      <c r="T61" s="304">
        <f t="shared" si="27"/>
        <v>44409</v>
      </c>
      <c r="U61" s="290">
        <f t="shared" ref="U61:U65" si="33">Q61+R61</f>
        <v>4377931.0964912279</v>
      </c>
      <c r="V61" s="305">
        <f t="shared" ref="V61:V65" si="34">7.6/100*Q61+3/100*R61</f>
        <v>289218.8</v>
      </c>
      <c r="W61" s="306">
        <f>158969.68</f>
        <v>158969.68</v>
      </c>
      <c r="X61" s="307">
        <f>101876.97+28372.15</f>
        <v>130249.12</v>
      </c>
      <c r="Y61" s="308">
        <f t="shared" si="17"/>
        <v>0</v>
      </c>
      <c r="Z61" s="309">
        <v>0</v>
      </c>
      <c r="AA61" s="290">
        <f t="shared" si="31"/>
        <v>130249.12</v>
      </c>
      <c r="AB61" s="293">
        <f t="shared" si="32"/>
        <v>2.9751295104756333E-2</v>
      </c>
    </row>
    <row r="62" spans="5:28" hidden="1">
      <c r="E62" s="280">
        <f>55294.33/(1.65/100)</f>
        <v>3351171.5151515151</v>
      </c>
      <c r="F62" s="280">
        <f>7122.62/(0.65/100)</f>
        <v>1095787.6923076923</v>
      </c>
      <c r="G62" s="310">
        <f t="shared" si="24"/>
        <v>7</v>
      </c>
      <c r="H62" s="304">
        <v>44440</v>
      </c>
      <c r="I62" s="290">
        <f t="shared" ref="I62:I65" si="35">E62+F62</f>
        <v>4446959.2074592076</v>
      </c>
      <c r="J62" s="305">
        <f t="shared" ref="J62:J65" si="36">1.65/100*E62+0.65/100*F62</f>
        <v>62416.950000000004</v>
      </c>
      <c r="K62" s="306">
        <f>33066.33</f>
        <v>33066.33</v>
      </c>
      <c r="L62" s="307">
        <f>22228+7122.62</f>
        <v>29350.62</v>
      </c>
      <c r="M62" s="308">
        <f t="shared" si="28"/>
        <v>0</v>
      </c>
      <c r="N62" s="309">
        <v>0</v>
      </c>
      <c r="O62" s="290">
        <f t="shared" si="29"/>
        <v>29350.620000000003</v>
      </c>
      <c r="P62" s="293">
        <f t="shared" si="30"/>
        <v>6.6001549892268129E-3</v>
      </c>
      <c r="Q62" s="280">
        <f>254766.21/(7.6/100)</f>
        <v>3352186.9736842103</v>
      </c>
      <c r="R62" s="280">
        <f>32873.64/(3/100)</f>
        <v>1095788</v>
      </c>
      <c r="S62" s="310">
        <f t="shared" si="26"/>
        <v>7</v>
      </c>
      <c r="T62" s="304">
        <f t="shared" si="27"/>
        <v>44440</v>
      </c>
      <c r="U62" s="290">
        <f t="shared" si="33"/>
        <v>4447974.9736842103</v>
      </c>
      <c r="V62" s="305">
        <f t="shared" si="34"/>
        <v>287639.84999999998</v>
      </c>
      <c r="W62" s="306">
        <f>152305.53</f>
        <v>152305.53</v>
      </c>
      <c r="X62" s="307">
        <f>102460.68+32873.64</f>
        <v>135334.32</v>
      </c>
      <c r="Y62" s="308">
        <f t="shared" si="17"/>
        <v>0</v>
      </c>
      <c r="Z62" s="309">
        <v>0</v>
      </c>
      <c r="AA62" s="290">
        <f t="shared" si="31"/>
        <v>135334.31999999998</v>
      </c>
      <c r="AB62" s="293">
        <f t="shared" si="32"/>
        <v>3.042605248471171E-2</v>
      </c>
    </row>
    <row r="63" spans="5:28" hidden="1">
      <c r="E63" s="280">
        <f>51677.92/(1.65/100)</f>
        <v>3131995.1515151514</v>
      </c>
      <c r="F63" s="280">
        <f>7049.53/(0.65/100)</f>
        <v>1084543.0769230768</v>
      </c>
      <c r="G63" s="310">
        <f t="shared" si="24"/>
        <v>8</v>
      </c>
      <c r="H63" s="304">
        <v>44470</v>
      </c>
      <c r="I63" s="290">
        <f t="shared" si="35"/>
        <v>4216538.2284382284</v>
      </c>
      <c r="J63" s="305">
        <f t="shared" si="36"/>
        <v>58727.45</v>
      </c>
      <c r="K63" s="306">
        <f>32737.16</f>
        <v>32737.16</v>
      </c>
      <c r="L63" s="307">
        <f>18940.76+7049.53</f>
        <v>25990.289999999997</v>
      </c>
      <c r="M63" s="308">
        <f>J63-K63-L63</f>
        <v>0</v>
      </c>
      <c r="N63" s="309">
        <v>0</v>
      </c>
      <c r="O63" s="290">
        <f>J63-K63-N63</f>
        <v>25990.289999999997</v>
      </c>
      <c r="P63" s="293">
        <f t="shared" si="30"/>
        <v>6.1638928884149092E-3</v>
      </c>
      <c r="Q63" s="280">
        <f>238118.81/(7.6/100)</f>
        <v>3133142.2368421052</v>
      </c>
      <c r="R63" s="280">
        <f>32536.31/(3/100)</f>
        <v>1084543.6666666667</v>
      </c>
      <c r="S63" s="310">
        <f t="shared" si="26"/>
        <v>8</v>
      </c>
      <c r="T63" s="304">
        <f t="shared" si="27"/>
        <v>44470</v>
      </c>
      <c r="U63" s="290">
        <f t="shared" si="33"/>
        <v>4217685.9035087721</v>
      </c>
      <c r="V63" s="305">
        <f t="shared" si="34"/>
        <v>270655.12</v>
      </c>
      <c r="W63" s="306">
        <v>150789.35</v>
      </c>
      <c r="X63" s="307">
        <f>87329.46+32536.31</f>
        <v>119865.77</v>
      </c>
      <c r="Y63" s="308">
        <f t="shared" si="17"/>
        <v>0</v>
      </c>
      <c r="Z63" s="309">
        <v>0</v>
      </c>
      <c r="AA63" s="290">
        <f t="shared" si="31"/>
        <v>119865.76999999999</v>
      </c>
      <c r="AB63" s="293">
        <f t="shared" si="32"/>
        <v>2.8419795295870989E-2</v>
      </c>
    </row>
    <row r="64" spans="5:28" hidden="1">
      <c r="E64" s="280">
        <f>61643.35/(1.65/100)</f>
        <v>3735960.606060606</v>
      </c>
      <c r="F64" s="280">
        <f>6356.67/(0.65/100)</f>
        <v>977949.23076923075</v>
      </c>
      <c r="G64" s="310">
        <f t="shared" si="24"/>
        <v>9</v>
      </c>
      <c r="H64" s="304">
        <v>44501</v>
      </c>
      <c r="I64" s="290">
        <f t="shared" si="35"/>
        <v>4713909.8368298365</v>
      </c>
      <c r="J64" s="305">
        <f t="shared" si="36"/>
        <v>68000.02</v>
      </c>
      <c r="K64" s="306">
        <v>37722.35</v>
      </c>
      <c r="L64" s="307">
        <f>23921+6356.67</f>
        <v>30277.67</v>
      </c>
      <c r="M64" s="308">
        <f t="shared" ref="M64:M65" si="37">J64-K64-L64</f>
        <v>0</v>
      </c>
      <c r="N64" s="309">
        <v>0</v>
      </c>
      <c r="O64" s="290">
        <f t="shared" ref="O64:O65" si="38">J64-K64-N64</f>
        <v>30277.670000000006</v>
      </c>
      <c r="P64" s="293">
        <f t="shared" si="30"/>
        <v>6.4230481803958552E-3</v>
      </c>
      <c r="Q64" s="280">
        <f>284007.16/(7.6/100)</f>
        <v>3736936.3157894732</v>
      </c>
      <c r="R64" s="280">
        <f>29338.5/(3/100)</f>
        <v>977950</v>
      </c>
      <c r="S64" s="310">
        <f t="shared" si="26"/>
        <v>9</v>
      </c>
      <c r="T64" s="304">
        <f t="shared" si="27"/>
        <v>44501</v>
      </c>
      <c r="U64" s="290">
        <f t="shared" si="33"/>
        <v>4714886.3157894732</v>
      </c>
      <c r="V64" s="305">
        <f t="shared" si="34"/>
        <v>313345.65999999997</v>
      </c>
      <c r="W64" s="306">
        <v>173751.42</v>
      </c>
      <c r="X64" s="307">
        <f>110255.74+29338.5</f>
        <v>139594.23999999999</v>
      </c>
      <c r="Y64" s="308">
        <f t="shared" si="17"/>
        <v>0</v>
      </c>
      <c r="Z64" s="309">
        <v>0</v>
      </c>
      <c r="AA64" s="290">
        <f t="shared" si="31"/>
        <v>139594.23999999996</v>
      </c>
      <c r="AB64" s="293">
        <f t="shared" si="32"/>
        <v>2.9607127436459924E-2</v>
      </c>
    </row>
    <row r="65" spans="2:28" hidden="1">
      <c r="E65" s="280">
        <f>69978.16/(1.65/100)</f>
        <v>4241100.6060606064</v>
      </c>
      <c r="F65" s="280">
        <f>6356.67/(0.65/100)</f>
        <v>977949.23076923075</v>
      </c>
      <c r="G65" s="310">
        <f t="shared" si="24"/>
        <v>10</v>
      </c>
      <c r="H65" s="304">
        <v>44531</v>
      </c>
      <c r="I65" s="290">
        <f t="shared" si="35"/>
        <v>5219049.8368298374</v>
      </c>
      <c r="J65" s="305">
        <f t="shared" si="36"/>
        <v>76334.83</v>
      </c>
      <c r="K65" s="306">
        <f>43899.75</f>
        <v>43899.75</v>
      </c>
      <c r="L65" s="307">
        <f>26078.41+6356.67</f>
        <v>32435.08</v>
      </c>
      <c r="M65" s="308">
        <f t="shared" si="37"/>
        <v>0</v>
      </c>
      <c r="N65" s="309">
        <v>0</v>
      </c>
      <c r="O65" s="290">
        <f t="shared" si="38"/>
        <v>32435.08</v>
      </c>
      <c r="P65" s="293">
        <f t="shared" si="30"/>
        <v>6.2147480890318079E-3</v>
      </c>
      <c r="Q65" s="280">
        <f>322405.51/(7.6/100)</f>
        <v>4242177.7631578948</v>
      </c>
      <c r="R65" s="280">
        <f>29338.5/(3/100)</f>
        <v>977950</v>
      </c>
      <c r="S65" s="310">
        <f t="shared" si="26"/>
        <v>10</v>
      </c>
      <c r="T65" s="304">
        <f t="shared" si="27"/>
        <v>44531</v>
      </c>
      <c r="U65" s="290">
        <f t="shared" si="33"/>
        <v>5220127.7631578948</v>
      </c>
      <c r="V65" s="305">
        <f t="shared" si="34"/>
        <v>351744.01</v>
      </c>
      <c r="W65" s="306">
        <f>202204.92</f>
        <v>202204.92</v>
      </c>
      <c r="X65" s="307">
        <f>120200.59+29338.5</f>
        <v>149539.09</v>
      </c>
      <c r="Y65" s="308">
        <f t="shared" si="17"/>
        <v>0</v>
      </c>
      <c r="Z65" s="309">
        <v>0</v>
      </c>
      <c r="AA65" s="290">
        <f t="shared" si="31"/>
        <v>149539.09</v>
      </c>
      <c r="AB65" s="293">
        <f t="shared" si="32"/>
        <v>2.8646634102598465E-2</v>
      </c>
    </row>
    <row r="66" spans="2:28" ht="18.75" hidden="1" thickBot="1">
      <c r="E66" s="280"/>
      <c r="F66" s="280"/>
      <c r="G66" s="1030" t="s">
        <v>36</v>
      </c>
      <c r="H66" s="1031"/>
      <c r="I66" s="318">
        <f>SUM(I54:I65)</f>
        <v>49850781.958041951</v>
      </c>
      <c r="J66" s="319"/>
      <c r="K66" s="1032" t="s">
        <v>37</v>
      </c>
      <c r="L66" s="1032"/>
      <c r="M66" s="1032"/>
      <c r="N66" s="1032"/>
      <c r="O66" s="1033"/>
      <c r="P66" s="320">
        <f>IFERROR(AVERAGE(P54:P65), " ")</f>
        <v>5.4309728821873805E-3</v>
      </c>
      <c r="S66" s="1034" t="s">
        <v>36</v>
      </c>
      <c r="T66" s="1035"/>
      <c r="U66" s="321">
        <f>SUM(U54:U65)</f>
        <v>49857452.780701764</v>
      </c>
      <c r="V66" s="322"/>
      <c r="W66" s="1013" t="s">
        <v>38</v>
      </c>
      <c r="X66" s="1013"/>
      <c r="Y66" s="1013"/>
      <c r="Z66" s="1013"/>
      <c r="AA66" s="1014"/>
      <c r="AB66" s="323">
        <f>IFERROR(AVERAGE(AB54:AB65)," ")</f>
        <v>2.5030549230822759E-2</v>
      </c>
    </row>
    <row r="67" spans="2:28" hidden="1">
      <c r="E67" s="280"/>
      <c r="F67" s="280"/>
      <c r="G67" s="324" t="s">
        <v>39</v>
      </c>
      <c r="Q67" s="282"/>
      <c r="R67" s="282"/>
      <c r="S67" s="324" t="s">
        <v>39</v>
      </c>
      <c r="T67" s="279"/>
      <c r="Y67" s="278"/>
      <c r="Z67" s="278"/>
      <c r="AA67" s="278"/>
      <c r="AB67" s="281"/>
    </row>
    <row r="68" spans="2:28" hidden="1">
      <c r="E68" s="280"/>
      <c r="F68" s="280"/>
      <c r="G68" s="291" t="s">
        <v>40</v>
      </c>
      <c r="H68" s="1037" t="s">
        <v>41</v>
      </c>
      <c r="I68" s="1038"/>
      <c r="J68" s="1038"/>
      <c r="K68" s="1038"/>
      <c r="L68" s="1038"/>
      <c r="M68" s="1038"/>
      <c r="N68" s="1038"/>
      <c r="O68" s="1038"/>
      <c r="P68" s="1039"/>
      <c r="S68" s="291" t="s">
        <v>40</v>
      </c>
      <c r="T68" s="1037" t="s">
        <v>41</v>
      </c>
      <c r="U68" s="1038"/>
      <c r="V68" s="1038"/>
      <c r="W68" s="1038"/>
      <c r="X68" s="1038"/>
      <c r="Y68" s="1038"/>
      <c r="Z68" s="1038"/>
      <c r="AA68" s="1038"/>
      <c r="AB68" s="1039"/>
    </row>
    <row r="69" spans="2:28" hidden="1">
      <c r="G69" s="291" t="s">
        <v>42</v>
      </c>
      <c r="H69" s="1037" t="s">
        <v>43</v>
      </c>
      <c r="I69" s="1038"/>
      <c r="J69" s="1038"/>
      <c r="K69" s="1038"/>
      <c r="L69" s="1038"/>
      <c r="M69" s="1038"/>
      <c r="N69" s="1038"/>
      <c r="O69" s="1038"/>
      <c r="P69" s="1039"/>
      <c r="S69" s="291" t="s">
        <v>42</v>
      </c>
      <c r="T69" s="1037" t="s">
        <v>43</v>
      </c>
      <c r="U69" s="1038"/>
      <c r="V69" s="1038"/>
      <c r="W69" s="1038"/>
      <c r="X69" s="1038"/>
      <c r="Y69" s="1038"/>
      <c r="Z69" s="1038"/>
      <c r="AA69" s="1038"/>
      <c r="AB69" s="1039"/>
    </row>
    <row r="70" spans="2:28" hidden="1">
      <c r="G70" s="291" t="s">
        <v>44</v>
      </c>
      <c r="H70" s="1040" t="s">
        <v>45</v>
      </c>
      <c r="I70" s="1041"/>
      <c r="J70" s="1041"/>
      <c r="K70" s="1041"/>
      <c r="L70" s="1041"/>
      <c r="M70" s="1041"/>
      <c r="N70" s="1041"/>
      <c r="O70" s="1041"/>
      <c r="P70" s="1042"/>
      <c r="S70" s="291" t="s">
        <v>44</v>
      </c>
      <c r="T70" s="1040" t="s">
        <v>45</v>
      </c>
      <c r="U70" s="1041"/>
      <c r="V70" s="1041"/>
      <c r="W70" s="1041"/>
      <c r="X70" s="1041"/>
      <c r="Y70" s="1041"/>
      <c r="Z70" s="1041"/>
      <c r="AA70" s="1041"/>
      <c r="AB70" s="1042"/>
    </row>
    <row r="75" spans="2:28">
      <c r="B75" s="1047" t="s">
        <v>651</v>
      </c>
      <c r="C75" s="1047"/>
      <c r="D75" s="354">
        <f>I18</f>
        <v>5443130.7692307699</v>
      </c>
    </row>
    <row r="76" spans="2:28">
      <c r="B76" s="1047" t="s">
        <v>663</v>
      </c>
      <c r="C76" s="1047"/>
      <c r="D76" s="354">
        <f>U18</f>
        <v>5443130.7666666666</v>
      </c>
    </row>
    <row r="77" spans="2:28">
      <c r="B77" s="1048" t="s">
        <v>664</v>
      </c>
      <c r="C77" s="1048"/>
      <c r="D77" s="355">
        <f>LARGE(D75:D76,1)</f>
        <v>5443130.7692307699</v>
      </c>
    </row>
    <row r="78" spans="2:28">
      <c r="B78" s="1049" t="s">
        <v>665</v>
      </c>
      <c r="C78" s="1049"/>
      <c r="D78" s="356">
        <v>4972206.9800000004</v>
      </c>
    </row>
    <row r="79" spans="2:28">
      <c r="B79" s="1050" t="s">
        <v>666</v>
      </c>
      <c r="C79" s="1050"/>
      <c r="D79" s="357">
        <f>D78*0.85</f>
        <v>4226375.9330000002</v>
      </c>
    </row>
    <row r="80" spans="2:28">
      <c r="B80" s="1051" t="s">
        <v>667</v>
      </c>
      <c r="C80" s="1051"/>
      <c r="D80" s="358">
        <f>D78*1.15</f>
        <v>5718038.0269999998</v>
      </c>
    </row>
  </sheetData>
  <mergeCells count="49">
    <mergeCell ref="B77:C77"/>
    <mergeCell ref="B78:C78"/>
    <mergeCell ref="B79:C79"/>
    <mergeCell ref="B80:C80"/>
    <mergeCell ref="H69:P69"/>
    <mergeCell ref="T69:AB69"/>
    <mergeCell ref="H70:P70"/>
    <mergeCell ref="T70:AB70"/>
    <mergeCell ref="B75:C75"/>
    <mergeCell ref="B76:C76"/>
    <mergeCell ref="G66:H66"/>
    <mergeCell ref="K66:O66"/>
    <mergeCell ref="S66:T66"/>
    <mergeCell ref="W66:AA66"/>
    <mergeCell ref="H68:P68"/>
    <mergeCell ref="T68:AB68"/>
    <mergeCell ref="C43:D43"/>
    <mergeCell ref="G51:I51"/>
    <mergeCell ref="S51:U51"/>
    <mergeCell ref="G52:G53"/>
    <mergeCell ref="H52:H53"/>
    <mergeCell ref="S52:S53"/>
    <mergeCell ref="T52:T53"/>
    <mergeCell ref="C42:D42"/>
    <mergeCell ref="H20:P20"/>
    <mergeCell ref="T20:AB20"/>
    <mergeCell ref="H21:P21"/>
    <mergeCell ref="T21:AB21"/>
    <mergeCell ref="H22:P22"/>
    <mergeCell ref="T22:AB22"/>
    <mergeCell ref="C35:E35"/>
    <mergeCell ref="C38:E38"/>
    <mergeCell ref="C39:D39"/>
    <mergeCell ref="C40:D40"/>
    <mergeCell ref="C41:D41"/>
    <mergeCell ref="W18:AA18"/>
    <mergeCell ref="B3:D4"/>
    <mergeCell ref="G3:I3"/>
    <mergeCell ref="S3:U3"/>
    <mergeCell ref="G4:G5"/>
    <mergeCell ref="H4:H5"/>
    <mergeCell ref="S4:S5"/>
    <mergeCell ref="T4:T5"/>
    <mergeCell ref="B5:C5"/>
    <mergeCell ref="B6:C9"/>
    <mergeCell ref="B10:C13"/>
    <mergeCell ref="G18:H18"/>
    <mergeCell ref="K18:O18"/>
    <mergeCell ref="S18:T18"/>
  </mergeCells>
  <conditionalFormatting sqref="E36:F36">
    <cfRule type="expression" dxfId="5" priority="1">
      <formula>$E$40&lt;$E$37</formula>
    </cfRule>
    <cfRule type="expression" dxfId="4" priority="2">
      <formula>$E$40&gt;=$E$37</formula>
    </cfRule>
  </conditionalFormatting>
  <conditionalFormatting sqref="G42">
    <cfRule type="expression" dxfId="3" priority="5">
      <formula>$E$42&lt;1</formula>
    </cfRule>
    <cfRule type="expression" dxfId="2" priority="6">
      <formula>$E$42&gt;=1</formula>
    </cfRule>
  </conditionalFormatting>
  <conditionalFormatting sqref="G43">
    <cfRule type="expression" dxfId="1" priority="3">
      <formula>ABS($E$43)&gt;10%</formula>
    </cfRule>
    <cfRule type="expression" dxfId="0" priority="4">
      <formula>ABS($E$43)&lt;=10%</formula>
    </cfRule>
  </conditionalFormatting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3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5AE9EC-1AE2-459E-A3A1-E2589E6E2485}">
  <sheetPr>
    <tabColor theme="9"/>
  </sheetPr>
  <dimension ref="B3:I15"/>
  <sheetViews>
    <sheetView showGridLines="0" workbookViewId="0">
      <selection activeCell="C21" sqref="C21"/>
    </sheetView>
  </sheetViews>
  <sheetFormatPr defaultRowHeight="12.75"/>
  <cols>
    <col min="1" max="1" width="9.140625" style="470"/>
    <col min="2" max="2" width="17.85546875" style="470" customWidth="1"/>
    <col min="3" max="3" width="65.140625" style="470" customWidth="1"/>
    <col min="4" max="4" width="65.28515625" style="470" customWidth="1"/>
    <col min="5" max="5" width="47.140625" style="470" customWidth="1"/>
    <col min="6" max="6" width="42" style="470" customWidth="1"/>
    <col min="7" max="16384" width="9.140625" style="470"/>
  </cols>
  <sheetData>
    <row r="3" spans="2:9" ht="25.5" customHeight="1">
      <c r="B3" s="614" t="s">
        <v>702</v>
      </c>
      <c r="C3" s="614"/>
      <c r="D3" s="614"/>
      <c r="E3" s="614"/>
    </row>
    <row r="4" spans="2:9" ht="24.75" customHeight="1">
      <c r="B4" s="471" t="s">
        <v>4</v>
      </c>
      <c r="C4" s="471" t="s">
        <v>1129</v>
      </c>
      <c r="D4" s="472" t="s">
        <v>704</v>
      </c>
      <c r="E4" s="471" t="s">
        <v>1184</v>
      </c>
    </row>
    <row r="5" spans="2:9" ht="32.25" customHeight="1">
      <c r="B5" s="473">
        <v>1</v>
      </c>
      <c r="C5" s="474" t="s">
        <v>675</v>
      </c>
      <c r="D5" s="475" t="s">
        <v>706</v>
      </c>
      <c r="E5" s="475" t="s">
        <v>1173</v>
      </c>
      <c r="F5" s="477"/>
    </row>
    <row r="6" spans="2:9" ht="27.75" customHeight="1">
      <c r="B6" s="473">
        <v>2</v>
      </c>
      <c r="C6" s="474" t="s">
        <v>1170</v>
      </c>
      <c r="D6" s="475" t="s">
        <v>706</v>
      </c>
      <c r="E6" s="475" t="s">
        <v>1172</v>
      </c>
    </row>
    <row r="10" spans="2:9" ht="28.5" customHeight="1">
      <c r="B10" s="606" t="s">
        <v>608</v>
      </c>
      <c r="C10" s="599"/>
      <c r="D10" s="600"/>
      <c r="E10" s="600"/>
      <c r="F10" s="600"/>
      <c r="G10"/>
      <c r="H10"/>
      <c r="I10"/>
    </row>
    <row r="11" spans="2:9" ht="38.25" customHeight="1">
      <c r="B11" s="428">
        <v>1</v>
      </c>
      <c r="C11" s="615" t="s">
        <v>1180</v>
      </c>
      <c r="D11" s="616"/>
      <c r="E11" s="616"/>
      <c r="F11" s="604"/>
      <c r="G11" s="605"/>
      <c r="H11" s="605"/>
      <c r="I11" s="605"/>
    </row>
    <row r="15" spans="2:9">
      <c r="F15" s="476"/>
    </row>
  </sheetData>
  <mergeCells count="2">
    <mergeCell ref="B3:E3"/>
    <mergeCell ref="C11:E1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101E5-975D-4218-9EC9-9B6698FF9F8C}">
  <dimension ref="A1:M1371"/>
  <sheetViews>
    <sheetView showGridLines="0" zoomScale="80" zoomScaleNormal="80" workbookViewId="0">
      <selection activeCell="G156" sqref="G156"/>
    </sheetView>
  </sheetViews>
  <sheetFormatPr defaultRowHeight="15"/>
  <cols>
    <col min="1" max="1" width="45.42578125" style="90" customWidth="1"/>
    <col min="2" max="2" width="22.140625" style="89" customWidth="1"/>
    <col min="3" max="3" width="11.85546875" style="87" bestFit="1" customWidth="1"/>
    <col min="4" max="4" width="12.28515625" style="87" customWidth="1"/>
    <col min="5" max="5" width="13" style="87" bestFit="1" customWidth="1"/>
    <col min="6" max="6" width="88.85546875" customWidth="1"/>
    <col min="7" max="7" width="35.5703125" style="90" bestFit="1" customWidth="1"/>
    <col min="8" max="8" width="17" style="89" bestFit="1" customWidth="1"/>
    <col min="9" max="9" width="26.28515625" style="90" bestFit="1" customWidth="1"/>
    <col min="10" max="10" width="12" style="90" customWidth="1"/>
    <col min="11" max="11" width="22.85546875" style="88" customWidth="1"/>
    <col min="12" max="12" width="12" style="88" customWidth="1"/>
    <col min="13" max="13" width="87.42578125" style="91" customWidth="1"/>
  </cols>
  <sheetData>
    <row r="1" spans="1:13" ht="21">
      <c r="A1" s="85" t="s">
        <v>211</v>
      </c>
      <c r="B1" s="86"/>
      <c r="G1" s="88"/>
    </row>
    <row r="2" spans="1:13" s="92" customFormat="1" ht="18.75">
      <c r="A2" s="92" t="s">
        <v>212</v>
      </c>
    </row>
    <row r="3" spans="1:13" ht="21">
      <c r="A3" s="85" t="s">
        <v>213</v>
      </c>
      <c r="B3" s="86"/>
      <c r="G3" s="88"/>
    </row>
    <row r="4" spans="1:13" ht="18.75">
      <c r="A4" s="92" t="s">
        <v>712</v>
      </c>
      <c r="B4" s="93"/>
      <c r="G4" s="88"/>
    </row>
    <row r="5" spans="1:13" ht="18.75">
      <c r="A5" s="92" t="s">
        <v>891</v>
      </c>
      <c r="B5" s="93"/>
      <c r="G5" s="88"/>
    </row>
    <row r="6" spans="1:13" ht="18.75">
      <c r="A6" s="92" t="s">
        <v>892</v>
      </c>
      <c r="B6" s="93"/>
      <c r="G6" s="88"/>
    </row>
    <row r="7" spans="1:13" ht="21">
      <c r="A7" s="94" t="s">
        <v>893</v>
      </c>
      <c r="B7" s="95"/>
      <c r="G7" s="88"/>
    </row>
    <row r="8" spans="1:13" ht="18.75" customHeight="1">
      <c r="A8" s="617" t="s">
        <v>214</v>
      </c>
      <c r="B8" s="617"/>
      <c r="C8" s="617"/>
      <c r="D8" s="617"/>
      <c r="E8" s="617"/>
      <c r="F8" s="617"/>
      <c r="G8" s="617"/>
      <c r="H8" s="617"/>
      <c r="I8" s="617"/>
      <c r="J8" s="617"/>
      <c r="K8" s="617"/>
      <c r="L8" s="617"/>
      <c r="M8" s="617"/>
    </row>
    <row r="9" spans="1:13" ht="36.75" customHeight="1">
      <c r="A9" s="419" t="s">
        <v>215</v>
      </c>
      <c r="B9" s="419" t="s">
        <v>216</v>
      </c>
      <c r="C9" s="420" t="s">
        <v>713</v>
      </c>
      <c r="D9" s="420" t="s">
        <v>217</v>
      </c>
      <c r="E9" s="434" t="s">
        <v>218</v>
      </c>
      <c r="F9" s="435" t="s">
        <v>714</v>
      </c>
      <c r="G9" s="436" t="s">
        <v>715</v>
      </c>
      <c r="H9" s="419" t="s">
        <v>219</v>
      </c>
      <c r="I9" s="421" t="s">
        <v>716</v>
      </c>
      <c r="J9" s="419" t="s">
        <v>220</v>
      </c>
      <c r="K9" s="422" t="s">
        <v>221</v>
      </c>
      <c r="L9" s="423" t="s">
        <v>894</v>
      </c>
      <c r="M9" s="423" t="s">
        <v>222</v>
      </c>
    </row>
    <row r="10" spans="1:13">
      <c r="A10" s="96" t="s">
        <v>286</v>
      </c>
      <c r="B10" s="97" t="s">
        <v>287</v>
      </c>
      <c r="C10" s="437" t="s">
        <v>717</v>
      </c>
      <c r="D10" s="115" t="s">
        <v>718</v>
      </c>
      <c r="E10" s="115" t="s">
        <v>895</v>
      </c>
      <c r="F10" s="105" t="s">
        <v>719</v>
      </c>
      <c r="G10" s="137" t="s">
        <v>289</v>
      </c>
      <c r="H10" s="136" t="s">
        <v>237</v>
      </c>
      <c r="I10" s="126" t="s">
        <v>283</v>
      </c>
      <c r="J10" s="136" t="s">
        <v>284</v>
      </c>
      <c r="K10" s="128" t="s">
        <v>228</v>
      </c>
      <c r="L10" s="424" t="s">
        <v>896</v>
      </c>
      <c r="M10" s="121" t="s">
        <v>229</v>
      </c>
    </row>
    <row r="11" spans="1:13">
      <c r="A11" s="96" t="s">
        <v>286</v>
      </c>
      <c r="B11" s="97" t="s">
        <v>287</v>
      </c>
      <c r="C11" s="437" t="s">
        <v>721</v>
      </c>
      <c r="D11" s="115" t="s">
        <v>718</v>
      </c>
      <c r="E11" s="115" t="s">
        <v>895</v>
      </c>
      <c r="F11" s="105" t="s">
        <v>290</v>
      </c>
      <c r="G11" s="137" t="s">
        <v>289</v>
      </c>
      <c r="H11" s="136" t="s">
        <v>237</v>
      </c>
      <c r="I11" s="126" t="s">
        <v>283</v>
      </c>
      <c r="J11" s="136" t="s">
        <v>284</v>
      </c>
      <c r="K11" s="128" t="s">
        <v>228</v>
      </c>
      <c r="L11" s="424" t="s">
        <v>896</v>
      </c>
      <c r="M11" s="121" t="s">
        <v>229</v>
      </c>
    </row>
    <row r="12" spans="1:13">
      <c r="A12" s="96" t="s">
        <v>286</v>
      </c>
      <c r="B12" s="97" t="s">
        <v>287</v>
      </c>
      <c r="C12" s="115" t="s">
        <v>897</v>
      </c>
      <c r="D12" s="115" t="s">
        <v>718</v>
      </c>
      <c r="E12" s="115" t="s">
        <v>895</v>
      </c>
      <c r="F12" s="105" t="s">
        <v>898</v>
      </c>
      <c r="G12" s="137" t="s">
        <v>289</v>
      </c>
      <c r="H12" s="136" t="s">
        <v>237</v>
      </c>
      <c r="I12" s="126" t="s">
        <v>283</v>
      </c>
      <c r="J12" s="136" t="s">
        <v>284</v>
      </c>
      <c r="K12" s="128" t="s">
        <v>228</v>
      </c>
      <c r="L12" s="424" t="s">
        <v>896</v>
      </c>
      <c r="M12" s="121" t="s">
        <v>229</v>
      </c>
    </row>
    <row r="13" spans="1:13">
      <c r="A13" s="96" t="s">
        <v>286</v>
      </c>
      <c r="B13" s="97" t="s">
        <v>287</v>
      </c>
      <c r="C13" s="437" t="s">
        <v>722</v>
      </c>
      <c r="D13" s="115" t="s">
        <v>718</v>
      </c>
      <c r="E13" s="115" t="s">
        <v>895</v>
      </c>
      <c r="F13" s="105" t="s">
        <v>723</v>
      </c>
      <c r="G13" s="137" t="s">
        <v>289</v>
      </c>
      <c r="H13" s="136" t="s">
        <v>237</v>
      </c>
      <c r="I13" s="126" t="s">
        <v>283</v>
      </c>
      <c r="J13" s="136" t="s">
        <v>284</v>
      </c>
      <c r="K13" s="128" t="s">
        <v>228</v>
      </c>
      <c r="L13" s="424" t="s">
        <v>896</v>
      </c>
      <c r="M13" s="121" t="s">
        <v>229</v>
      </c>
    </row>
    <row r="14" spans="1:13">
      <c r="A14" s="96" t="s">
        <v>286</v>
      </c>
      <c r="B14" s="97" t="s">
        <v>287</v>
      </c>
      <c r="C14" s="437" t="s">
        <v>724</v>
      </c>
      <c r="D14" s="115" t="s">
        <v>718</v>
      </c>
      <c r="E14" s="115" t="s">
        <v>895</v>
      </c>
      <c r="F14" t="s">
        <v>725</v>
      </c>
      <c r="G14" s="137" t="s">
        <v>289</v>
      </c>
      <c r="H14" s="136" t="s">
        <v>237</v>
      </c>
      <c r="I14" s="126" t="s">
        <v>283</v>
      </c>
      <c r="J14" s="136" t="s">
        <v>284</v>
      </c>
      <c r="K14" s="128" t="s">
        <v>228</v>
      </c>
      <c r="L14" s="424" t="s">
        <v>896</v>
      </c>
      <c r="M14" s="121" t="s">
        <v>229</v>
      </c>
    </row>
    <row r="15" spans="1:13">
      <c r="A15" s="96" t="s">
        <v>286</v>
      </c>
      <c r="B15" s="97" t="s">
        <v>287</v>
      </c>
      <c r="C15" s="437" t="s">
        <v>726</v>
      </c>
      <c r="D15" s="115" t="s">
        <v>718</v>
      </c>
      <c r="E15" s="115" t="s">
        <v>895</v>
      </c>
      <c r="F15" s="105" t="s">
        <v>727</v>
      </c>
      <c r="G15" s="137" t="s">
        <v>289</v>
      </c>
      <c r="H15" s="136" t="s">
        <v>237</v>
      </c>
      <c r="I15" s="126" t="s">
        <v>283</v>
      </c>
      <c r="J15" s="136" t="s">
        <v>284</v>
      </c>
      <c r="K15" s="128" t="s">
        <v>228</v>
      </c>
      <c r="L15" s="424" t="s">
        <v>896</v>
      </c>
      <c r="M15" s="121" t="s">
        <v>229</v>
      </c>
    </row>
    <row r="16" spans="1:13">
      <c r="A16" s="96" t="s">
        <v>286</v>
      </c>
      <c r="B16" s="97" t="s">
        <v>287</v>
      </c>
      <c r="C16" s="115" t="s">
        <v>728</v>
      </c>
      <c r="D16" s="115" t="s">
        <v>718</v>
      </c>
      <c r="E16" s="115" t="s">
        <v>895</v>
      </c>
      <c r="F16" s="105" t="s">
        <v>729</v>
      </c>
      <c r="G16" s="137" t="s">
        <v>289</v>
      </c>
      <c r="H16" s="136" t="s">
        <v>237</v>
      </c>
      <c r="I16" s="126" t="s">
        <v>283</v>
      </c>
      <c r="J16" s="136" t="s">
        <v>284</v>
      </c>
      <c r="K16" s="128" t="s">
        <v>228</v>
      </c>
      <c r="L16" s="424" t="s">
        <v>896</v>
      </c>
      <c r="M16" s="121" t="s">
        <v>229</v>
      </c>
    </row>
    <row r="17" spans="1:13">
      <c r="A17" s="96" t="s">
        <v>286</v>
      </c>
      <c r="B17" s="97" t="s">
        <v>287</v>
      </c>
      <c r="C17" s="437" t="s">
        <v>730</v>
      </c>
      <c r="D17" s="115" t="s">
        <v>718</v>
      </c>
      <c r="E17" s="115" t="s">
        <v>895</v>
      </c>
      <c r="F17" s="105" t="s">
        <v>731</v>
      </c>
      <c r="G17" s="137" t="s">
        <v>289</v>
      </c>
      <c r="H17" s="136" t="s">
        <v>237</v>
      </c>
      <c r="I17" s="126" t="s">
        <v>283</v>
      </c>
      <c r="J17" s="136" t="s">
        <v>284</v>
      </c>
      <c r="K17" s="128" t="s">
        <v>228</v>
      </c>
      <c r="L17" s="424" t="s">
        <v>896</v>
      </c>
      <c r="M17" s="121" t="s">
        <v>229</v>
      </c>
    </row>
    <row r="18" spans="1:13">
      <c r="A18" s="96" t="s">
        <v>286</v>
      </c>
      <c r="B18" s="97" t="s">
        <v>287</v>
      </c>
      <c r="C18" s="437" t="s">
        <v>899</v>
      </c>
      <c r="D18" s="115" t="s">
        <v>718</v>
      </c>
      <c r="E18" s="115" t="s">
        <v>895</v>
      </c>
      <c r="F18" s="105" t="s">
        <v>900</v>
      </c>
      <c r="G18" s="137" t="s">
        <v>289</v>
      </c>
      <c r="H18" s="136" t="s">
        <v>237</v>
      </c>
      <c r="I18" s="126" t="s">
        <v>283</v>
      </c>
      <c r="J18" s="136" t="s">
        <v>284</v>
      </c>
      <c r="K18" s="128" t="s">
        <v>228</v>
      </c>
      <c r="L18" s="424" t="s">
        <v>896</v>
      </c>
      <c r="M18" s="121" t="s">
        <v>229</v>
      </c>
    </row>
    <row r="19" spans="1:13">
      <c r="A19" s="96" t="s">
        <v>286</v>
      </c>
      <c r="B19" s="97" t="s">
        <v>287</v>
      </c>
      <c r="C19" s="437" t="s">
        <v>732</v>
      </c>
      <c r="D19" s="115" t="s">
        <v>718</v>
      </c>
      <c r="E19" s="115" t="s">
        <v>895</v>
      </c>
      <c r="F19" s="105" t="s">
        <v>733</v>
      </c>
      <c r="G19" s="137" t="s">
        <v>289</v>
      </c>
      <c r="H19" s="136" t="s">
        <v>237</v>
      </c>
      <c r="I19" s="126" t="s">
        <v>283</v>
      </c>
      <c r="J19" s="136" t="s">
        <v>284</v>
      </c>
      <c r="K19" s="128" t="s">
        <v>228</v>
      </c>
      <c r="L19" s="424" t="s">
        <v>896</v>
      </c>
      <c r="M19" s="121" t="s">
        <v>229</v>
      </c>
    </row>
    <row r="20" spans="1:13">
      <c r="A20" s="96" t="s">
        <v>286</v>
      </c>
      <c r="B20" s="97" t="s">
        <v>287</v>
      </c>
      <c r="C20" s="115" t="s">
        <v>734</v>
      </c>
      <c r="D20" s="115" t="s">
        <v>718</v>
      </c>
      <c r="E20" s="115" t="s">
        <v>895</v>
      </c>
      <c r="F20" s="105" t="s">
        <v>735</v>
      </c>
      <c r="G20" s="137" t="s">
        <v>289</v>
      </c>
      <c r="H20" s="136" t="s">
        <v>237</v>
      </c>
      <c r="I20" s="126" t="s">
        <v>283</v>
      </c>
      <c r="J20" s="136" t="s">
        <v>284</v>
      </c>
      <c r="K20" s="128" t="s">
        <v>228</v>
      </c>
      <c r="L20" s="424" t="s">
        <v>896</v>
      </c>
      <c r="M20" s="121" t="s">
        <v>229</v>
      </c>
    </row>
    <row r="21" spans="1:13">
      <c r="A21" s="96" t="s">
        <v>286</v>
      </c>
      <c r="B21" s="97" t="s">
        <v>287</v>
      </c>
      <c r="C21" s="437" t="s">
        <v>901</v>
      </c>
      <c r="D21" s="115" t="s">
        <v>718</v>
      </c>
      <c r="E21" s="115" t="s">
        <v>895</v>
      </c>
      <c r="F21" s="105" t="s">
        <v>902</v>
      </c>
      <c r="G21" s="137" t="s">
        <v>289</v>
      </c>
      <c r="H21" s="136" t="s">
        <v>237</v>
      </c>
      <c r="I21" s="126" t="s">
        <v>283</v>
      </c>
      <c r="J21" s="136" t="s">
        <v>284</v>
      </c>
      <c r="K21" s="128" t="s">
        <v>228</v>
      </c>
      <c r="L21" s="424" t="s">
        <v>896</v>
      </c>
      <c r="M21" s="121" t="s">
        <v>229</v>
      </c>
    </row>
    <row r="22" spans="1:13">
      <c r="A22" s="96" t="s">
        <v>286</v>
      </c>
      <c r="B22" s="97" t="s">
        <v>287</v>
      </c>
      <c r="C22" s="437" t="s">
        <v>736</v>
      </c>
      <c r="D22" s="115" t="s">
        <v>718</v>
      </c>
      <c r="E22" s="115" t="s">
        <v>895</v>
      </c>
      <c r="F22" s="105" t="s">
        <v>737</v>
      </c>
      <c r="G22" s="137" t="s">
        <v>289</v>
      </c>
      <c r="H22" s="136" t="s">
        <v>237</v>
      </c>
      <c r="I22" s="126" t="s">
        <v>283</v>
      </c>
      <c r="J22" s="136" t="s">
        <v>284</v>
      </c>
      <c r="K22" s="128" t="s">
        <v>228</v>
      </c>
      <c r="L22" s="424" t="s">
        <v>896</v>
      </c>
      <c r="M22" s="121" t="s">
        <v>229</v>
      </c>
    </row>
    <row r="23" spans="1:13">
      <c r="A23" s="96" t="s">
        <v>286</v>
      </c>
      <c r="B23" s="97" t="s">
        <v>287</v>
      </c>
      <c r="C23" s="437" t="s">
        <v>738</v>
      </c>
      <c r="D23" s="115" t="s">
        <v>718</v>
      </c>
      <c r="E23" s="115" t="s">
        <v>895</v>
      </c>
      <c r="F23" s="105" t="s">
        <v>739</v>
      </c>
      <c r="G23" s="137" t="s">
        <v>289</v>
      </c>
      <c r="H23" s="136" t="s">
        <v>237</v>
      </c>
      <c r="I23" s="126" t="s">
        <v>283</v>
      </c>
      <c r="J23" s="136" t="s">
        <v>284</v>
      </c>
      <c r="K23" s="128" t="s">
        <v>228</v>
      </c>
      <c r="L23" s="424" t="s">
        <v>896</v>
      </c>
      <c r="M23" s="121" t="s">
        <v>229</v>
      </c>
    </row>
    <row r="24" spans="1:13">
      <c r="A24" s="96" t="s">
        <v>286</v>
      </c>
      <c r="B24" s="97" t="s">
        <v>287</v>
      </c>
      <c r="C24" s="437" t="s">
        <v>740</v>
      </c>
      <c r="D24" s="115" t="s">
        <v>718</v>
      </c>
      <c r="E24" s="115" t="s">
        <v>895</v>
      </c>
      <c r="F24" s="105" t="s">
        <v>741</v>
      </c>
      <c r="G24" s="137" t="s">
        <v>289</v>
      </c>
      <c r="H24" s="136" t="s">
        <v>237</v>
      </c>
      <c r="I24" s="126" t="s">
        <v>283</v>
      </c>
      <c r="J24" s="136" t="s">
        <v>284</v>
      </c>
      <c r="K24" s="128" t="s">
        <v>228</v>
      </c>
      <c r="L24" s="424" t="s">
        <v>896</v>
      </c>
      <c r="M24" s="121" t="s">
        <v>229</v>
      </c>
    </row>
    <row r="25" spans="1:13">
      <c r="A25" s="96" t="s">
        <v>286</v>
      </c>
      <c r="B25" s="97" t="s">
        <v>287</v>
      </c>
      <c r="C25" s="437" t="s">
        <v>742</v>
      </c>
      <c r="D25" s="115" t="s">
        <v>718</v>
      </c>
      <c r="E25" s="115" t="s">
        <v>895</v>
      </c>
      <c r="F25" s="105" t="s">
        <v>743</v>
      </c>
      <c r="G25" s="137" t="s">
        <v>289</v>
      </c>
      <c r="H25" s="136" t="s">
        <v>237</v>
      </c>
      <c r="I25" s="126" t="s">
        <v>283</v>
      </c>
      <c r="J25" s="136" t="s">
        <v>284</v>
      </c>
      <c r="K25" s="128" t="s">
        <v>228</v>
      </c>
      <c r="L25" s="424" t="s">
        <v>896</v>
      </c>
      <c r="M25" s="121" t="s">
        <v>229</v>
      </c>
    </row>
    <row r="26" spans="1:13">
      <c r="A26" s="96" t="s">
        <v>286</v>
      </c>
      <c r="B26" s="97" t="s">
        <v>287</v>
      </c>
      <c r="C26" s="437" t="s">
        <v>744</v>
      </c>
      <c r="D26" s="115" t="s">
        <v>718</v>
      </c>
      <c r="E26" s="115" t="s">
        <v>895</v>
      </c>
      <c r="F26" s="105" t="s">
        <v>745</v>
      </c>
      <c r="G26" s="137" t="s">
        <v>289</v>
      </c>
      <c r="H26" s="136" t="s">
        <v>237</v>
      </c>
      <c r="I26" s="126" t="s">
        <v>283</v>
      </c>
      <c r="J26" s="136" t="s">
        <v>284</v>
      </c>
      <c r="K26" s="128" t="s">
        <v>228</v>
      </c>
      <c r="L26" s="424" t="s">
        <v>896</v>
      </c>
      <c r="M26" s="121" t="s">
        <v>229</v>
      </c>
    </row>
    <row r="27" spans="1:13">
      <c r="A27" s="96" t="s">
        <v>286</v>
      </c>
      <c r="B27" s="97" t="s">
        <v>287</v>
      </c>
      <c r="C27" s="437" t="s">
        <v>746</v>
      </c>
      <c r="D27" s="115" t="s">
        <v>718</v>
      </c>
      <c r="E27" s="115" t="s">
        <v>895</v>
      </c>
      <c r="F27" s="105" t="s">
        <v>747</v>
      </c>
      <c r="G27" s="137" t="s">
        <v>289</v>
      </c>
      <c r="H27" s="136" t="s">
        <v>237</v>
      </c>
      <c r="I27" s="126" t="s">
        <v>283</v>
      </c>
      <c r="J27" s="136" t="s">
        <v>284</v>
      </c>
      <c r="K27" s="128" t="s">
        <v>228</v>
      </c>
      <c r="L27" s="424" t="s">
        <v>896</v>
      </c>
      <c r="M27" s="121" t="s">
        <v>229</v>
      </c>
    </row>
    <row r="28" spans="1:13">
      <c r="A28" s="96" t="s">
        <v>286</v>
      </c>
      <c r="B28" s="97" t="s">
        <v>287</v>
      </c>
      <c r="C28" s="437" t="s">
        <v>748</v>
      </c>
      <c r="D28" s="115" t="s">
        <v>718</v>
      </c>
      <c r="E28" s="115" t="s">
        <v>895</v>
      </c>
      <c r="F28" s="105" t="s">
        <v>749</v>
      </c>
      <c r="G28" s="137" t="s">
        <v>289</v>
      </c>
      <c r="H28" s="136" t="s">
        <v>237</v>
      </c>
      <c r="I28" s="126" t="s">
        <v>283</v>
      </c>
      <c r="J28" s="136" t="s">
        <v>284</v>
      </c>
      <c r="K28" s="128" t="s">
        <v>228</v>
      </c>
      <c r="L28" s="424" t="s">
        <v>896</v>
      </c>
      <c r="M28" s="121" t="s">
        <v>229</v>
      </c>
    </row>
    <row r="29" spans="1:13">
      <c r="A29" s="96" t="s">
        <v>286</v>
      </c>
      <c r="B29" s="97" t="s">
        <v>287</v>
      </c>
      <c r="C29" s="437" t="s">
        <v>750</v>
      </c>
      <c r="D29" s="115" t="s">
        <v>718</v>
      </c>
      <c r="E29" s="115" t="s">
        <v>895</v>
      </c>
      <c r="F29" s="105" t="s">
        <v>751</v>
      </c>
      <c r="G29" s="137" t="s">
        <v>289</v>
      </c>
      <c r="H29" s="136" t="s">
        <v>237</v>
      </c>
      <c r="I29" s="126" t="s">
        <v>283</v>
      </c>
      <c r="J29" s="136" t="s">
        <v>284</v>
      </c>
      <c r="K29" s="128" t="s">
        <v>228</v>
      </c>
      <c r="L29" s="424" t="s">
        <v>896</v>
      </c>
      <c r="M29" s="121" t="s">
        <v>229</v>
      </c>
    </row>
    <row r="30" spans="1:13">
      <c r="A30" s="96" t="s">
        <v>286</v>
      </c>
      <c r="B30" s="97" t="s">
        <v>287</v>
      </c>
      <c r="C30" s="115" t="s">
        <v>752</v>
      </c>
      <c r="D30" s="115" t="s">
        <v>718</v>
      </c>
      <c r="E30" s="115" t="s">
        <v>895</v>
      </c>
      <c r="F30" s="105" t="s">
        <v>753</v>
      </c>
      <c r="G30" s="137" t="s">
        <v>289</v>
      </c>
      <c r="H30" s="136" t="s">
        <v>237</v>
      </c>
      <c r="I30" s="137" t="s">
        <v>291</v>
      </c>
      <c r="J30" s="136" t="s">
        <v>284</v>
      </c>
      <c r="K30" s="128" t="s">
        <v>228</v>
      </c>
      <c r="L30" s="424">
        <v>7.25</v>
      </c>
      <c r="M30" s="121" t="s">
        <v>229</v>
      </c>
    </row>
    <row r="31" spans="1:13">
      <c r="A31" s="96" t="s">
        <v>286</v>
      </c>
      <c r="B31" s="97" t="s">
        <v>287</v>
      </c>
      <c r="C31" s="115" t="s">
        <v>754</v>
      </c>
      <c r="D31" s="115" t="s">
        <v>718</v>
      </c>
      <c r="E31" s="115" t="s">
        <v>895</v>
      </c>
      <c r="F31" s="105" t="s">
        <v>755</v>
      </c>
      <c r="G31" s="137" t="s">
        <v>289</v>
      </c>
      <c r="H31" s="136" t="s">
        <v>237</v>
      </c>
      <c r="I31" s="137" t="s">
        <v>291</v>
      </c>
      <c r="J31" s="136" t="s">
        <v>284</v>
      </c>
      <c r="K31" s="128" t="s">
        <v>228</v>
      </c>
      <c r="L31" s="424">
        <v>7.25</v>
      </c>
      <c r="M31" s="121" t="s">
        <v>229</v>
      </c>
    </row>
    <row r="32" spans="1:13">
      <c r="A32" s="96" t="s">
        <v>286</v>
      </c>
      <c r="B32" s="97" t="s">
        <v>287</v>
      </c>
      <c r="C32" s="115" t="s">
        <v>756</v>
      </c>
      <c r="D32" s="115" t="s">
        <v>757</v>
      </c>
      <c r="E32" s="115" t="s">
        <v>895</v>
      </c>
      <c r="F32" s="105" t="s">
        <v>758</v>
      </c>
      <c r="G32" s="137" t="s">
        <v>289</v>
      </c>
      <c r="H32" s="136" t="s">
        <v>237</v>
      </c>
      <c r="I32" s="137" t="s">
        <v>289</v>
      </c>
      <c r="J32" s="136" t="s">
        <v>284</v>
      </c>
      <c r="K32" s="128" t="s">
        <v>228</v>
      </c>
      <c r="L32" s="424">
        <v>5.85</v>
      </c>
      <c r="M32" s="121" t="s">
        <v>229</v>
      </c>
    </row>
    <row r="33" spans="1:13">
      <c r="A33" s="96" t="s">
        <v>286</v>
      </c>
      <c r="B33" s="97" t="s">
        <v>287</v>
      </c>
      <c r="C33" s="115" t="s">
        <v>759</v>
      </c>
      <c r="D33" s="115" t="s">
        <v>757</v>
      </c>
      <c r="E33" s="115" t="s">
        <v>895</v>
      </c>
      <c r="F33" s="105" t="s">
        <v>760</v>
      </c>
      <c r="G33" s="137" t="s">
        <v>289</v>
      </c>
      <c r="H33" s="136" t="s">
        <v>237</v>
      </c>
      <c r="I33" s="137" t="s">
        <v>289</v>
      </c>
      <c r="J33" s="136" t="s">
        <v>284</v>
      </c>
      <c r="K33" s="128" t="s">
        <v>228</v>
      </c>
      <c r="L33" s="424">
        <v>5.85</v>
      </c>
      <c r="M33" s="121" t="s">
        <v>229</v>
      </c>
    </row>
    <row r="34" spans="1:13">
      <c r="A34" s="96" t="s">
        <v>286</v>
      </c>
      <c r="B34" s="97" t="s">
        <v>287</v>
      </c>
      <c r="C34" s="115" t="s">
        <v>761</v>
      </c>
      <c r="D34" s="115" t="s">
        <v>762</v>
      </c>
      <c r="E34" s="115" t="s">
        <v>895</v>
      </c>
      <c r="F34" s="105" t="s">
        <v>763</v>
      </c>
      <c r="G34" s="135" t="s">
        <v>288</v>
      </c>
      <c r="H34" s="136" t="s">
        <v>237</v>
      </c>
      <c r="I34" s="137" t="s">
        <v>289</v>
      </c>
      <c r="J34" s="136" t="s">
        <v>284</v>
      </c>
      <c r="K34" s="128" t="s">
        <v>228</v>
      </c>
      <c r="L34" s="424">
        <v>7.8</v>
      </c>
      <c r="M34" s="121" t="s">
        <v>229</v>
      </c>
    </row>
    <row r="35" spans="1:13">
      <c r="A35" s="96" t="s">
        <v>223</v>
      </c>
      <c r="B35" s="97" t="s">
        <v>224</v>
      </c>
      <c r="C35" s="115" t="s">
        <v>764</v>
      </c>
      <c r="D35" s="115" t="s">
        <v>764</v>
      </c>
      <c r="E35" s="115" t="s">
        <v>895</v>
      </c>
      <c r="F35" s="99" t="s">
        <v>225</v>
      </c>
      <c r="G35" s="100" t="s">
        <v>765</v>
      </c>
      <c r="H35" s="97" t="s">
        <v>226</v>
      </c>
      <c r="I35" s="100" t="s">
        <v>766</v>
      </c>
      <c r="J35" s="97" t="s">
        <v>227</v>
      </c>
      <c r="K35" s="101" t="s">
        <v>228</v>
      </c>
      <c r="L35" s="424">
        <v>1.85</v>
      </c>
      <c r="M35" s="121" t="s">
        <v>229</v>
      </c>
    </row>
    <row r="36" spans="1:13">
      <c r="A36" s="96" t="s">
        <v>230</v>
      </c>
      <c r="B36" s="97" t="s">
        <v>231</v>
      </c>
      <c r="C36" s="98" t="s">
        <v>767</v>
      </c>
      <c r="D36" s="98" t="s">
        <v>767</v>
      </c>
      <c r="E36" s="115" t="s">
        <v>895</v>
      </c>
      <c r="F36" s="105" t="s">
        <v>232</v>
      </c>
      <c r="G36" s="106" t="s">
        <v>233</v>
      </c>
      <c r="H36" s="104" t="s">
        <v>227</v>
      </c>
      <c r="I36" s="106" t="s">
        <v>768</v>
      </c>
      <c r="J36" s="104" t="s">
        <v>226</v>
      </c>
      <c r="K36" s="107" t="s">
        <v>228</v>
      </c>
      <c r="L36" s="424">
        <v>6.2</v>
      </c>
      <c r="M36" s="121" t="s">
        <v>229</v>
      </c>
    </row>
    <row r="37" spans="1:13">
      <c r="A37" s="96" t="s">
        <v>769</v>
      </c>
      <c r="B37" s="97" t="s">
        <v>281</v>
      </c>
      <c r="C37" s="122">
        <v>7001</v>
      </c>
      <c r="D37" s="123">
        <v>12502070</v>
      </c>
      <c r="E37" s="115" t="s">
        <v>895</v>
      </c>
      <c r="F37" s="124" t="s">
        <v>770</v>
      </c>
      <c r="G37" s="125" t="s">
        <v>282</v>
      </c>
      <c r="H37" s="123" t="s">
        <v>237</v>
      </c>
      <c r="I37" s="126" t="s">
        <v>283</v>
      </c>
      <c r="J37" s="123" t="s">
        <v>284</v>
      </c>
      <c r="K37" s="128" t="s">
        <v>228</v>
      </c>
      <c r="L37" s="424">
        <v>10.35</v>
      </c>
      <c r="M37" s="121" t="s">
        <v>229</v>
      </c>
    </row>
    <row r="38" spans="1:13">
      <c r="A38" s="96" t="s">
        <v>769</v>
      </c>
      <c r="B38" s="97" t="s">
        <v>281</v>
      </c>
      <c r="C38" s="122">
        <v>7003</v>
      </c>
      <c r="D38" s="123">
        <v>12502070</v>
      </c>
      <c r="E38" s="115" t="s">
        <v>895</v>
      </c>
      <c r="F38" s="124" t="s">
        <v>771</v>
      </c>
      <c r="G38" s="125" t="s">
        <v>282</v>
      </c>
      <c r="H38" s="123" t="s">
        <v>237</v>
      </c>
      <c r="I38" s="126" t="s">
        <v>283</v>
      </c>
      <c r="J38" s="123" t="s">
        <v>284</v>
      </c>
      <c r="K38" s="128" t="s">
        <v>228</v>
      </c>
      <c r="L38" s="424">
        <v>10.35</v>
      </c>
      <c r="M38" s="121" t="s">
        <v>229</v>
      </c>
    </row>
    <row r="39" spans="1:13">
      <c r="A39" s="96" t="s">
        <v>769</v>
      </c>
      <c r="B39" s="97" t="s">
        <v>281</v>
      </c>
      <c r="C39" s="129">
        <v>7004</v>
      </c>
      <c r="D39" s="123">
        <v>12502070</v>
      </c>
      <c r="E39" s="115" t="s">
        <v>895</v>
      </c>
      <c r="F39" s="124" t="s">
        <v>772</v>
      </c>
      <c r="G39" s="125" t="s">
        <v>282</v>
      </c>
      <c r="H39" s="123" t="s">
        <v>237</v>
      </c>
      <c r="I39" s="126" t="s">
        <v>283</v>
      </c>
      <c r="J39" s="123" t="s">
        <v>284</v>
      </c>
      <c r="K39" s="128" t="s">
        <v>228</v>
      </c>
      <c r="L39" s="424">
        <v>10.35</v>
      </c>
      <c r="M39" s="121" t="s">
        <v>229</v>
      </c>
    </row>
    <row r="40" spans="1:13">
      <c r="A40" s="96" t="s">
        <v>769</v>
      </c>
      <c r="B40" s="97" t="s">
        <v>281</v>
      </c>
      <c r="C40" s="129">
        <v>7005</v>
      </c>
      <c r="D40" s="123">
        <v>12502070</v>
      </c>
      <c r="E40" s="115" t="s">
        <v>895</v>
      </c>
      <c r="F40" s="124" t="s">
        <v>903</v>
      </c>
      <c r="G40" s="125" t="s">
        <v>282</v>
      </c>
      <c r="H40" s="123" t="s">
        <v>237</v>
      </c>
      <c r="I40" s="126" t="s">
        <v>283</v>
      </c>
      <c r="J40" s="123" t="s">
        <v>284</v>
      </c>
      <c r="K40" s="128" t="s">
        <v>228</v>
      </c>
      <c r="L40" s="424">
        <v>10.35</v>
      </c>
      <c r="M40" s="121" t="s">
        <v>229</v>
      </c>
    </row>
    <row r="41" spans="1:13">
      <c r="A41" s="96" t="s">
        <v>769</v>
      </c>
      <c r="B41" s="97" t="s">
        <v>281</v>
      </c>
      <c r="C41" s="129">
        <v>7006</v>
      </c>
      <c r="D41" s="123">
        <v>12502070</v>
      </c>
      <c r="E41" s="115" t="s">
        <v>895</v>
      </c>
      <c r="F41" s="124" t="s">
        <v>773</v>
      </c>
      <c r="G41" s="125" t="s">
        <v>282</v>
      </c>
      <c r="H41" s="123" t="s">
        <v>237</v>
      </c>
      <c r="I41" s="126" t="s">
        <v>283</v>
      </c>
      <c r="J41" s="123" t="s">
        <v>284</v>
      </c>
      <c r="K41" s="128" t="s">
        <v>228</v>
      </c>
      <c r="L41" s="424">
        <v>10.35</v>
      </c>
      <c r="M41" s="121" t="s">
        <v>229</v>
      </c>
    </row>
    <row r="42" spans="1:13">
      <c r="A42" s="96" t="s">
        <v>769</v>
      </c>
      <c r="B42" s="97" t="s">
        <v>281</v>
      </c>
      <c r="C42" s="129">
        <v>7021</v>
      </c>
      <c r="D42" s="123">
        <v>12502070</v>
      </c>
      <c r="E42" s="115" t="s">
        <v>895</v>
      </c>
      <c r="F42" s="425" t="s">
        <v>774</v>
      </c>
      <c r="G42" s="125" t="s">
        <v>282</v>
      </c>
      <c r="H42" s="123" t="s">
        <v>237</v>
      </c>
      <c r="I42" s="126" t="s">
        <v>283</v>
      </c>
      <c r="J42" s="123" t="s">
        <v>284</v>
      </c>
      <c r="K42" s="128" t="s">
        <v>228</v>
      </c>
      <c r="L42" s="424">
        <v>10.35</v>
      </c>
      <c r="M42" s="121" t="s">
        <v>229</v>
      </c>
    </row>
    <row r="43" spans="1:13">
      <c r="A43" s="96" t="s">
        <v>769</v>
      </c>
      <c r="B43" s="97" t="s">
        <v>281</v>
      </c>
      <c r="C43" s="122">
        <v>7024</v>
      </c>
      <c r="D43" s="123">
        <v>12502070</v>
      </c>
      <c r="E43" s="115" t="s">
        <v>895</v>
      </c>
      <c r="F43" s="124" t="s">
        <v>775</v>
      </c>
      <c r="G43" s="125" t="s">
        <v>282</v>
      </c>
      <c r="H43" s="123" t="s">
        <v>237</v>
      </c>
      <c r="I43" s="126" t="s">
        <v>283</v>
      </c>
      <c r="J43" s="123" t="s">
        <v>284</v>
      </c>
      <c r="K43" s="128" t="s">
        <v>228</v>
      </c>
      <c r="L43" s="424">
        <v>10.35</v>
      </c>
      <c r="M43" s="121" t="s">
        <v>229</v>
      </c>
    </row>
    <row r="44" spans="1:13">
      <c r="A44" s="96" t="s">
        <v>769</v>
      </c>
      <c r="B44" s="97" t="s">
        <v>281</v>
      </c>
      <c r="C44" s="130">
        <v>7050</v>
      </c>
      <c r="D44" s="123">
        <v>12502070</v>
      </c>
      <c r="E44" s="115" t="s">
        <v>895</v>
      </c>
      <c r="F44" s="124" t="s">
        <v>776</v>
      </c>
      <c r="G44" s="125" t="s">
        <v>282</v>
      </c>
      <c r="H44" s="123" t="s">
        <v>237</v>
      </c>
      <c r="I44" s="126" t="s">
        <v>283</v>
      </c>
      <c r="J44" s="123" t="s">
        <v>284</v>
      </c>
      <c r="K44" s="128" t="s">
        <v>228</v>
      </c>
      <c r="L44" s="424">
        <v>10.35</v>
      </c>
      <c r="M44" s="121" t="s">
        <v>229</v>
      </c>
    </row>
    <row r="45" spans="1:13">
      <c r="A45" s="96" t="s">
        <v>769</v>
      </c>
      <c r="B45" s="97" t="s">
        <v>281</v>
      </c>
      <c r="C45" s="129">
        <v>7051</v>
      </c>
      <c r="D45" s="123">
        <v>12502070</v>
      </c>
      <c r="E45" s="115" t="s">
        <v>895</v>
      </c>
      <c r="F45" s="425" t="s">
        <v>777</v>
      </c>
      <c r="G45" s="125" t="s">
        <v>282</v>
      </c>
      <c r="H45" s="123" t="s">
        <v>237</v>
      </c>
      <c r="I45" s="126" t="s">
        <v>283</v>
      </c>
      <c r="J45" s="123" t="s">
        <v>284</v>
      </c>
      <c r="K45" s="128" t="s">
        <v>228</v>
      </c>
      <c r="L45" s="424">
        <v>10.35</v>
      </c>
      <c r="M45" s="121" t="s">
        <v>229</v>
      </c>
    </row>
    <row r="46" spans="1:13">
      <c r="A46" s="96" t="s">
        <v>769</v>
      </c>
      <c r="B46" s="97" t="s">
        <v>281</v>
      </c>
      <c r="C46" s="129">
        <v>7075</v>
      </c>
      <c r="D46" s="123">
        <v>12502070</v>
      </c>
      <c r="E46" s="115" t="s">
        <v>895</v>
      </c>
      <c r="F46" s="426" t="s">
        <v>778</v>
      </c>
      <c r="G46" s="125" t="s">
        <v>282</v>
      </c>
      <c r="H46" s="123" t="s">
        <v>237</v>
      </c>
      <c r="I46" s="126" t="s">
        <v>283</v>
      </c>
      <c r="J46" s="123" t="s">
        <v>284</v>
      </c>
      <c r="K46" s="128" t="s">
        <v>228</v>
      </c>
      <c r="L46" s="424">
        <v>10.35</v>
      </c>
      <c r="M46" s="121" t="s">
        <v>229</v>
      </c>
    </row>
    <row r="47" spans="1:13">
      <c r="A47" s="96" t="s">
        <v>769</v>
      </c>
      <c r="B47" s="97" t="s">
        <v>281</v>
      </c>
      <c r="C47" s="129">
        <v>7077</v>
      </c>
      <c r="D47" s="123">
        <v>12502070</v>
      </c>
      <c r="E47" s="115" t="s">
        <v>895</v>
      </c>
      <c r="F47" s="426" t="s">
        <v>779</v>
      </c>
      <c r="G47" s="125" t="s">
        <v>282</v>
      </c>
      <c r="H47" s="123" t="s">
        <v>237</v>
      </c>
      <c r="I47" s="126" t="s">
        <v>283</v>
      </c>
      <c r="J47" s="123" t="s">
        <v>284</v>
      </c>
      <c r="K47" s="128" t="s">
        <v>228</v>
      </c>
      <c r="L47" s="424">
        <v>10.35</v>
      </c>
      <c r="M47" s="121" t="s">
        <v>229</v>
      </c>
    </row>
    <row r="48" spans="1:13">
      <c r="A48" s="96" t="s">
        <v>769</v>
      </c>
      <c r="B48" s="97" t="s">
        <v>281</v>
      </c>
      <c r="C48" s="129">
        <v>7081</v>
      </c>
      <c r="D48" s="123">
        <v>12502070</v>
      </c>
      <c r="E48" s="115" t="s">
        <v>895</v>
      </c>
      <c r="F48" s="425" t="s">
        <v>780</v>
      </c>
      <c r="G48" s="131" t="s">
        <v>282</v>
      </c>
      <c r="H48" s="123" t="s">
        <v>237</v>
      </c>
      <c r="I48" s="126" t="s">
        <v>283</v>
      </c>
      <c r="J48" s="123" t="s">
        <v>284</v>
      </c>
      <c r="K48" s="128" t="s">
        <v>228</v>
      </c>
      <c r="L48" s="424">
        <v>10.35</v>
      </c>
      <c r="M48" s="121" t="s">
        <v>229</v>
      </c>
    </row>
    <row r="49" spans="1:13">
      <c r="A49" s="96" t="s">
        <v>769</v>
      </c>
      <c r="B49" s="97" t="s">
        <v>281</v>
      </c>
      <c r="C49" s="129">
        <v>7086</v>
      </c>
      <c r="D49" s="123">
        <v>12502070</v>
      </c>
      <c r="E49" s="115" t="s">
        <v>895</v>
      </c>
      <c r="F49" s="124" t="s">
        <v>904</v>
      </c>
      <c r="G49" s="131" t="s">
        <v>282</v>
      </c>
      <c r="H49" s="123" t="s">
        <v>237</v>
      </c>
      <c r="I49" s="126" t="s">
        <v>283</v>
      </c>
      <c r="J49" s="123" t="s">
        <v>284</v>
      </c>
      <c r="K49" s="128" t="s">
        <v>228</v>
      </c>
      <c r="L49" s="424">
        <v>10.35</v>
      </c>
      <c r="M49" s="121" t="s">
        <v>229</v>
      </c>
    </row>
    <row r="50" spans="1:13">
      <c r="A50" s="96" t="s">
        <v>769</v>
      </c>
      <c r="B50" s="97" t="s">
        <v>281</v>
      </c>
      <c r="C50" s="129">
        <v>7087</v>
      </c>
      <c r="D50" s="123">
        <v>12502070</v>
      </c>
      <c r="E50" s="115" t="s">
        <v>895</v>
      </c>
      <c r="F50" s="426" t="s">
        <v>781</v>
      </c>
      <c r="G50" s="131" t="s">
        <v>282</v>
      </c>
      <c r="H50" s="123" t="s">
        <v>237</v>
      </c>
      <c r="I50" s="132" t="s">
        <v>283</v>
      </c>
      <c r="J50" s="123" t="s">
        <v>284</v>
      </c>
      <c r="K50" s="128" t="s">
        <v>228</v>
      </c>
      <c r="L50" s="424">
        <v>10.35</v>
      </c>
      <c r="M50" s="121" t="s">
        <v>229</v>
      </c>
    </row>
    <row r="51" spans="1:13">
      <c r="A51" s="96" t="s">
        <v>769</v>
      </c>
      <c r="B51" s="97" t="s">
        <v>281</v>
      </c>
      <c r="C51" s="129">
        <v>7088</v>
      </c>
      <c r="D51" s="123">
        <v>12502070</v>
      </c>
      <c r="E51" s="115" t="s">
        <v>895</v>
      </c>
      <c r="F51" s="426" t="s">
        <v>905</v>
      </c>
      <c r="G51" s="131" t="s">
        <v>282</v>
      </c>
      <c r="H51" s="123" t="s">
        <v>237</v>
      </c>
      <c r="I51" s="132" t="s">
        <v>283</v>
      </c>
      <c r="J51" s="123" t="s">
        <v>284</v>
      </c>
      <c r="K51" s="128" t="s">
        <v>228</v>
      </c>
      <c r="L51" s="424">
        <v>10.35</v>
      </c>
      <c r="M51" s="121" t="s">
        <v>229</v>
      </c>
    </row>
    <row r="52" spans="1:13">
      <c r="A52" s="96" t="s">
        <v>769</v>
      </c>
      <c r="B52" s="97" t="s">
        <v>281</v>
      </c>
      <c r="C52" s="129">
        <v>7089</v>
      </c>
      <c r="D52" s="123">
        <v>12502070</v>
      </c>
      <c r="E52" s="115" t="s">
        <v>895</v>
      </c>
      <c r="F52" s="426" t="s">
        <v>906</v>
      </c>
      <c r="G52" s="131" t="s">
        <v>282</v>
      </c>
      <c r="H52" s="123" t="s">
        <v>237</v>
      </c>
      <c r="I52" s="126" t="s">
        <v>283</v>
      </c>
      <c r="J52" s="123" t="s">
        <v>284</v>
      </c>
      <c r="K52" s="128" t="s">
        <v>228</v>
      </c>
      <c r="L52" s="424">
        <v>10.35</v>
      </c>
      <c r="M52" s="121" t="s">
        <v>229</v>
      </c>
    </row>
    <row r="53" spans="1:13">
      <c r="A53" s="96" t="s">
        <v>769</v>
      </c>
      <c r="B53" s="97" t="s">
        <v>281</v>
      </c>
      <c r="C53" s="129">
        <v>7301</v>
      </c>
      <c r="D53" s="123">
        <v>12502070</v>
      </c>
      <c r="E53" s="115" t="s">
        <v>895</v>
      </c>
      <c r="F53" s="426" t="s">
        <v>907</v>
      </c>
      <c r="G53" s="131" t="s">
        <v>282</v>
      </c>
      <c r="H53" s="123" t="s">
        <v>237</v>
      </c>
      <c r="I53" s="126" t="s">
        <v>283</v>
      </c>
      <c r="J53" s="123" t="s">
        <v>284</v>
      </c>
      <c r="K53" s="128" t="s">
        <v>228</v>
      </c>
      <c r="L53" s="424">
        <v>10.35</v>
      </c>
      <c r="M53" s="121" t="s">
        <v>229</v>
      </c>
    </row>
    <row r="54" spans="1:13">
      <c r="A54" s="96" t="s">
        <v>769</v>
      </c>
      <c r="B54" s="97" t="s">
        <v>281</v>
      </c>
      <c r="C54" s="129">
        <v>7701</v>
      </c>
      <c r="D54" s="123">
        <v>12502270</v>
      </c>
      <c r="E54" s="115" t="s">
        <v>895</v>
      </c>
      <c r="F54" s="426" t="s">
        <v>782</v>
      </c>
      <c r="G54" s="131" t="s">
        <v>282</v>
      </c>
      <c r="H54" s="123" t="s">
        <v>237</v>
      </c>
      <c r="I54" s="133" t="s">
        <v>285</v>
      </c>
      <c r="J54" s="123" t="s">
        <v>284</v>
      </c>
      <c r="K54" s="128" t="s">
        <v>228</v>
      </c>
      <c r="L54" s="424">
        <v>7.75</v>
      </c>
      <c r="M54" s="121" t="s">
        <v>229</v>
      </c>
    </row>
    <row r="55" spans="1:13">
      <c r="A55" s="96" t="s">
        <v>769</v>
      </c>
      <c r="B55" s="97" t="s">
        <v>281</v>
      </c>
      <c r="C55" s="129">
        <v>7702</v>
      </c>
      <c r="D55" s="123">
        <v>12502270</v>
      </c>
      <c r="E55" s="115" t="s">
        <v>895</v>
      </c>
      <c r="F55" s="426" t="s">
        <v>908</v>
      </c>
      <c r="G55" s="131" t="s">
        <v>282</v>
      </c>
      <c r="H55" s="123" t="s">
        <v>237</v>
      </c>
      <c r="I55" s="133" t="s">
        <v>285</v>
      </c>
      <c r="J55" s="123" t="s">
        <v>284</v>
      </c>
      <c r="K55" s="128" t="s">
        <v>228</v>
      </c>
      <c r="L55" s="424">
        <v>7.75</v>
      </c>
      <c r="M55" s="121" t="s">
        <v>229</v>
      </c>
    </row>
    <row r="56" spans="1:13">
      <c r="A56" s="96" t="s">
        <v>769</v>
      </c>
      <c r="B56" s="97" t="s">
        <v>281</v>
      </c>
      <c r="C56" s="129">
        <v>7705</v>
      </c>
      <c r="D56" s="123">
        <v>12502270</v>
      </c>
      <c r="E56" s="115" t="s">
        <v>895</v>
      </c>
      <c r="F56" s="426" t="s">
        <v>909</v>
      </c>
      <c r="G56" s="131" t="s">
        <v>282</v>
      </c>
      <c r="H56" s="123" t="s">
        <v>237</v>
      </c>
      <c r="I56" s="133" t="s">
        <v>285</v>
      </c>
      <c r="J56" s="123" t="s">
        <v>284</v>
      </c>
      <c r="K56" s="128" t="s">
        <v>228</v>
      </c>
      <c r="L56" s="424">
        <v>7.75</v>
      </c>
      <c r="M56" s="121" t="s">
        <v>229</v>
      </c>
    </row>
    <row r="57" spans="1:13">
      <c r="A57" s="96" t="s">
        <v>769</v>
      </c>
      <c r="B57" s="97" t="s">
        <v>281</v>
      </c>
      <c r="C57" s="129">
        <v>7706</v>
      </c>
      <c r="D57" s="123">
        <v>12502270</v>
      </c>
      <c r="E57" s="115" t="s">
        <v>895</v>
      </c>
      <c r="F57" s="426" t="s">
        <v>910</v>
      </c>
      <c r="G57" s="131" t="s">
        <v>282</v>
      </c>
      <c r="H57" s="123" t="s">
        <v>237</v>
      </c>
      <c r="I57" s="133" t="s">
        <v>285</v>
      </c>
      <c r="J57" s="123" t="s">
        <v>284</v>
      </c>
      <c r="K57" s="128" t="s">
        <v>228</v>
      </c>
      <c r="L57" s="424">
        <v>7.75</v>
      </c>
      <c r="M57" s="121" t="s">
        <v>229</v>
      </c>
    </row>
    <row r="58" spans="1:13">
      <c r="A58" s="96" t="s">
        <v>769</v>
      </c>
      <c r="B58" s="97" t="s">
        <v>281</v>
      </c>
      <c r="C58" s="129">
        <v>7703</v>
      </c>
      <c r="D58" s="123">
        <v>12502070</v>
      </c>
      <c r="E58" s="115" t="s">
        <v>895</v>
      </c>
      <c r="F58" s="426" t="s">
        <v>783</v>
      </c>
      <c r="G58" s="131" t="s">
        <v>282</v>
      </c>
      <c r="H58" s="123" t="s">
        <v>237</v>
      </c>
      <c r="I58" s="126" t="s">
        <v>283</v>
      </c>
      <c r="J58" s="123" t="s">
        <v>284</v>
      </c>
      <c r="K58" s="128" t="s">
        <v>228</v>
      </c>
      <c r="L58" s="424">
        <v>10.35</v>
      </c>
      <c r="M58" s="121" t="s">
        <v>229</v>
      </c>
    </row>
    <row r="59" spans="1:13">
      <c r="A59" s="96" t="s">
        <v>769</v>
      </c>
      <c r="B59" s="97" t="s">
        <v>281</v>
      </c>
      <c r="C59" s="129">
        <v>7704</v>
      </c>
      <c r="D59" s="123">
        <v>12502070</v>
      </c>
      <c r="E59" s="115" t="s">
        <v>895</v>
      </c>
      <c r="F59" s="426" t="s">
        <v>911</v>
      </c>
      <c r="G59" s="131" t="s">
        <v>282</v>
      </c>
      <c r="H59" s="123" t="s">
        <v>237</v>
      </c>
      <c r="I59" s="126" t="s">
        <v>283</v>
      </c>
      <c r="J59" s="123" t="s">
        <v>284</v>
      </c>
      <c r="K59" s="128" t="s">
        <v>228</v>
      </c>
      <c r="L59" s="424">
        <v>10.35</v>
      </c>
      <c r="M59" s="121" t="s">
        <v>229</v>
      </c>
    </row>
    <row r="60" spans="1:13">
      <c r="A60" s="96" t="s">
        <v>769</v>
      </c>
      <c r="B60" s="97" t="s">
        <v>281</v>
      </c>
      <c r="C60" s="123">
        <v>7708</v>
      </c>
      <c r="D60" s="123">
        <v>12502170</v>
      </c>
      <c r="E60" s="115" t="s">
        <v>895</v>
      </c>
      <c r="F60" s="426" t="s">
        <v>912</v>
      </c>
      <c r="G60" s="131" t="s">
        <v>282</v>
      </c>
      <c r="H60" s="123" t="s">
        <v>237</v>
      </c>
      <c r="I60" s="126" t="s">
        <v>316</v>
      </c>
      <c r="J60" s="123" t="s">
        <v>284</v>
      </c>
      <c r="K60" s="128" t="s">
        <v>228</v>
      </c>
      <c r="L60" s="424">
        <v>11.65</v>
      </c>
      <c r="M60" s="121" t="s">
        <v>229</v>
      </c>
    </row>
    <row r="61" spans="1:13">
      <c r="A61" s="96" t="s">
        <v>769</v>
      </c>
      <c r="B61" s="97" t="s">
        <v>281</v>
      </c>
      <c r="C61" s="123">
        <v>7805</v>
      </c>
      <c r="D61" s="123">
        <v>12502170</v>
      </c>
      <c r="E61" s="115" t="s">
        <v>895</v>
      </c>
      <c r="F61" s="426" t="s">
        <v>913</v>
      </c>
      <c r="G61" s="131" t="s">
        <v>282</v>
      </c>
      <c r="H61" s="123" t="s">
        <v>237</v>
      </c>
      <c r="I61" s="126" t="s">
        <v>316</v>
      </c>
      <c r="J61" s="123" t="s">
        <v>284</v>
      </c>
      <c r="K61" s="128" t="s">
        <v>228</v>
      </c>
      <c r="L61" s="424">
        <v>11.65</v>
      </c>
      <c r="M61" s="121" t="s">
        <v>229</v>
      </c>
    </row>
    <row r="62" spans="1:13">
      <c r="A62" s="96" t="s">
        <v>769</v>
      </c>
      <c r="B62" s="97" t="s">
        <v>281</v>
      </c>
      <c r="C62" s="121">
        <v>7806</v>
      </c>
      <c r="D62" s="123">
        <v>12502170</v>
      </c>
      <c r="E62" s="115" t="s">
        <v>895</v>
      </c>
      <c r="F62" s="426" t="s">
        <v>784</v>
      </c>
      <c r="G62" s="131" t="s">
        <v>282</v>
      </c>
      <c r="H62" s="123" t="s">
        <v>237</v>
      </c>
      <c r="I62" s="126" t="s">
        <v>316</v>
      </c>
      <c r="J62" s="123" t="s">
        <v>284</v>
      </c>
      <c r="K62" s="128" t="s">
        <v>228</v>
      </c>
      <c r="L62" s="424">
        <v>11.65</v>
      </c>
      <c r="M62" s="121" t="s">
        <v>229</v>
      </c>
    </row>
    <row r="63" spans="1:13">
      <c r="A63" s="96" t="s">
        <v>769</v>
      </c>
      <c r="B63" s="97" t="s">
        <v>281</v>
      </c>
      <c r="C63" s="121">
        <v>7090</v>
      </c>
      <c r="D63" s="123">
        <v>12502070</v>
      </c>
      <c r="E63" s="115" t="s">
        <v>895</v>
      </c>
      <c r="F63" s="426" t="s">
        <v>914</v>
      </c>
      <c r="G63" s="131" t="s">
        <v>282</v>
      </c>
      <c r="H63" s="123" t="s">
        <v>237</v>
      </c>
      <c r="I63" s="126" t="s">
        <v>283</v>
      </c>
      <c r="J63" s="123" t="s">
        <v>284</v>
      </c>
      <c r="K63" s="128" t="s">
        <v>228</v>
      </c>
      <c r="L63" s="424">
        <v>10.35</v>
      </c>
      <c r="M63" s="121" t="s">
        <v>229</v>
      </c>
    </row>
    <row r="64" spans="1:13">
      <c r="A64" s="96" t="s">
        <v>785</v>
      </c>
      <c r="B64" s="97" t="s">
        <v>234</v>
      </c>
      <c r="C64" s="97">
        <v>101</v>
      </c>
      <c r="D64" s="97">
        <v>11115870</v>
      </c>
      <c r="E64" s="115" t="s">
        <v>895</v>
      </c>
      <c r="F64" s="99" t="s">
        <v>235</v>
      </c>
      <c r="G64" s="108" t="s">
        <v>786</v>
      </c>
      <c r="H64" s="97" t="s">
        <v>236</v>
      </c>
      <c r="I64" s="100" t="s">
        <v>787</v>
      </c>
      <c r="J64" s="97" t="s">
        <v>237</v>
      </c>
      <c r="K64" s="101" t="s">
        <v>228</v>
      </c>
      <c r="L64" s="424">
        <v>4.55</v>
      </c>
      <c r="M64" s="103" t="s">
        <v>229</v>
      </c>
    </row>
    <row r="65" spans="1:13">
      <c r="A65" s="96" t="s">
        <v>785</v>
      </c>
      <c r="B65" s="97" t="s">
        <v>234</v>
      </c>
      <c r="C65" s="97">
        <v>102</v>
      </c>
      <c r="D65" s="97">
        <v>11115870</v>
      </c>
      <c r="E65" s="115" t="s">
        <v>895</v>
      </c>
      <c r="F65" s="99" t="s">
        <v>238</v>
      </c>
      <c r="G65" s="108" t="s">
        <v>786</v>
      </c>
      <c r="H65" s="97" t="s">
        <v>236</v>
      </c>
      <c r="I65" s="100" t="s">
        <v>787</v>
      </c>
      <c r="J65" s="97" t="s">
        <v>237</v>
      </c>
      <c r="K65" s="101" t="s">
        <v>228</v>
      </c>
      <c r="L65" s="424">
        <v>4.55</v>
      </c>
      <c r="M65" s="103" t="s">
        <v>229</v>
      </c>
    </row>
    <row r="66" spans="1:13">
      <c r="A66" s="96" t="s">
        <v>785</v>
      </c>
      <c r="B66" s="97" t="s">
        <v>234</v>
      </c>
      <c r="C66" s="97">
        <v>103</v>
      </c>
      <c r="D66" s="97">
        <v>11115870</v>
      </c>
      <c r="E66" s="115" t="s">
        <v>895</v>
      </c>
      <c r="F66" s="99" t="s">
        <v>239</v>
      </c>
      <c r="G66" s="108" t="s">
        <v>786</v>
      </c>
      <c r="H66" s="97" t="s">
        <v>236</v>
      </c>
      <c r="I66" s="100" t="s">
        <v>787</v>
      </c>
      <c r="J66" s="97" t="s">
        <v>237</v>
      </c>
      <c r="K66" s="101" t="s">
        <v>228</v>
      </c>
      <c r="L66" s="424">
        <v>4.55</v>
      </c>
      <c r="M66" s="103" t="s">
        <v>240</v>
      </c>
    </row>
    <row r="67" spans="1:13">
      <c r="A67" s="96" t="s">
        <v>241</v>
      </c>
      <c r="B67" s="97" t="s">
        <v>242</v>
      </c>
      <c r="C67" s="97">
        <v>201</v>
      </c>
      <c r="D67" s="109">
        <v>9040470</v>
      </c>
      <c r="E67" s="115" t="s">
        <v>895</v>
      </c>
      <c r="F67" s="110" t="s">
        <v>243</v>
      </c>
      <c r="G67" s="111" t="s">
        <v>788</v>
      </c>
      <c r="H67" s="109" t="s">
        <v>244</v>
      </c>
      <c r="I67" s="112" t="s">
        <v>245</v>
      </c>
      <c r="J67" s="109" t="s">
        <v>226</v>
      </c>
      <c r="K67" s="107" t="s">
        <v>228</v>
      </c>
      <c r="L67" s="424">
        <v>9.6</v>
      </c>
      <c r="M67" s="103" t="s">
        <v>229</v>
      </c>
    </row>
    <row r="68" spans="1:13">
      <c r="A68" s="96" t="s">
        <v>241</v>
      </c>
      <c r="B68" s="97" t="s">
        <v>242</v>
      </c>
      <c r="C68" s="97">
        <v>202</v>
      </c>
      <c r="D68" s="109">
        <v>9040470</v>
      </c>
      <c r="E68" s="115" t="s">
        <v>895</v>
      </c>
      <c r="F68" s="110" t="s">
        <v>246</v>
      </c>
      <c r="G68" s="111" t="s">
        <v>788</v>
      </c>
      <c r="H68" s="109" t="s">
        <v>244</v>
      </c>
      <c r="I68" s="112" t="s">
        <v>245</v>
      </c>
      <c r="J68" s="109" t="s">
        <v>226</v>
      </c>
      <c r="K68" s="107" t="s">
        <v>228</v>
      </c>
      <c r="L68" s="424">
        <v>9.6</v>
      </c>
      <c r="M68" s="103" t="s">
        <v>229</v>
      </c>
    </row>
    <row r="69" spans="1:13" ht="15.75">
      <c r="A69" s="96" t="s">
        <v>241</v>
      </c>
      <c r="B69" s="97" t="s">
        <v>242</v>
      </c>
      <c r="C69" s="97">
        <v>203</v>
      </c>
      <c r="D69" s="109">
        <v>9040470</v>
      </c>
      <c r="E69" s="115" t="s">
        <v>895</v>
      </c>
      <c r="F69" s="110" t="s">
        <v>247</v>
      </c>
      <c r="G69" s="111" t="s">
        <v>788</v>
      </c>
      <c r="H69" s="109" t="s">
        <v>244</v>
      </c>
      <c r="I69" s="112" t="s">
        <v>245</v>
      </c>
      <c r="J69" s="109" t="s">
        <v>226</v>
      </c>
      <c r="K69" s="107" t="s">
        <v>228</v>
      </c>
      <c r="L69" s="424">
        <v>9.6</v>
      </c>
      <c r="M69" s="103" t="s">
        <v>229</v>
      </c>
    </row>
    <row r="70" spans="1:13" ht="15.75">
      <c r="A70" s="96" t="s">
        <v>241</v>
      </c>
      <c r="B70" s="97" t="s">
        <v>242</v>
      </c>
      <c r="C70" s="97">
        <v>204</v>
      </c>
      <c r="D70" s="109">
        <v>9040470</v>
      </c>
      <c r="E70" s="115" t="s">
        <v>895</v>
      </c>
      <c r="F70" s="438" t="s">
        <v>248</v>
      </c>
      <c r="G70" s="111" t="s">
        <v>249</v>
      </c>
      <c r="H70" s="109" t="s">
        <v>244</v>
      </c>
      <c r="I70" s="112" t="s">
        <v>245</v>
      </c>
      <c r="J70" s="109" t="s">
        <v>226</v>
      </c>
      <c r="K70" s="107" t="s">
        <v>228</v>
      </c>
      <c r="L70" s="424">
        <v>5.65</v>
      </c>
      <c r="M70" s="103" t="s">
        <v>229</v>
      </c>
    </row>
    <row r="71" spans="1:13">
      <c r="A71" s="96" t="s">
        <v>250</v>
      </c>
      <c r="B71" s="97" t="s">
        <v>251</v>
      </c>
      <c r="C71" s="97">
        <v>8099670</v>
      </c>
      <c r="D71" s="109">
        <v>8099670</v>
      </c>
      <c r="E71" s="115" t="s">
        <v>895</v>
      </c>
      <c r="F71" s="105" t="s">
        <v>252</v>
      </c>
      <c r="G71" s="114" t="s">
        <v>253</v>
      </c>
      <c r="H71" s="109" t="s">
        <v>226</v>
      </c>
      <c r="I71" s="112" t="s">
        <v>254</v>
      </c>
      <c r="J71" s="109" t="s">
        <v>255</v>
      </c>
      <c r="K71" s="107" t="s">
        <v>228</v>
      </c>
      <c r="L71" s="424">
        <v>7.05</v>
      </c>
      <c r="M71" s="103" t="s">
        <v>229</v>
      </c>
    </row>
    <row r="72" spans="1:13">
      <c r="A72" s="96" t="s">
        <v>250</v>
      </c>
      <c r="B72" s="97" t="s">
        <v>251</v>
      </c>
      <c r="C72" s="97">
        <v>8099670</v>
      </c>
      <c r="D72" s="109">
        <v>8099670</v>
      </c>
      <c r="E72" s="115" t="s">
        <v>895</v>
      </c>
      <c r="F72" s="113" t="s">
        <v>252</v>
      </c>
      <c r="G72" s="114" t="s">
        <v>256</v>
      </c>
      <c r="H72" s="109" t="s">
        <v>226</v>
      </c>
      <c r="I72" s="112" t="s">
        <v>254</v>
      </c>
      <c r="J72" s="109" t="s">
        <v>255</v>
      </c>
      <c r="K72" s="107" t="s">
        <v>228</v>
      </c>
      <c r="L72" s="424">
        <v>4.7</v>
      </c>
      <c r="M72" s="103" t="s">
        <v>229</v>
      </c>
    </row>
    <row r="73" spans="1:13">
      <c r="A73" s="96" t="s">
        <v>789</v>
      </c>
      <c r="B73" s="97" t="s">
        <v>257</v>
      </c>
      <c r="C73" s="97">
        <v>401</v>
      </c>
      <c r="D73" s="104">
        <v>4020270</v>
      </c>
      <c r="E73" s="115" t="s">
        <v>895</v>
      </c>
      <c r="F73" s="105" t="s">
        <v>790</v>
      </c>
      <c r="G73" s="116" t="s">
        <v>258</v>
      </c>
      <c r="H73" s="117" t="s">
        <v>259</v>
      </c>
      <c r="I73" s="116" t="s">
        <v>260</v>
      </c>
      <c r="J73" s="117" t="s">
        <v>261</v>
      </c>
      <c r="K73" s="107" t="s">
        <v>228</v>
      </c>
      <c r="L73" s="424">
        <v>3.9</v>
      </c>
      <c r="M73" s="103" t="s">
        <v>229</v>
      </c>
    </row>
    <row r="74" spans="1:13">
      <c r="A74" s="96" t="s">
        <v>789</v>
      </c>
      <c r="B74" s="97" t="s">
        <v>257</v>
      </c>
      <c r="C74" s="97">
        <v>402</v>
      </c>
      <c r="D74" s="104">
        <v>4020270</v>
      </c>
      <c r="E74" s="115" t="s">
        <v>895</v>
      </c>
      <c r="F74" s="105" t="s">
        <v>791</v>
      </c>
      <c r="G74" s="118" t="s">
        <v>258</v>
      </c>
      <c r="H74" s="117" t="s">
        <v>259</v>
      </c>
      <c r="I74" s="116" t="s">
        <v>260</v>
      </c>
      <c r="J74" s="117" t="s">
        <v>261</v>
      </c>
      <c r="K74" s="107" t="s">
        <v>228</v>
      </c>
      <c r="L74" s="424">
        <v>3.9</v>
      </c>
      <c r="M74" s="103" t="s">
        <v>229</v>
      </c>
    </row>
    <row r="75" spans="1:13">
      <c r="A75" s="96" t="s">
        <v>789</v>
      </c>
      <c r="B75" s="97" t="s">
        <v>257</v>
      </c>
      <c r="C75" s="104">
        <v>403</v>
      </c>
      <c r="D75" s="104">
        <v>4020270</v>
      </c>
      <c r="E75" s="115" t="s">
        <v>895</v>
      </c>
      <c r="F75" s="105" t="s">
        <v>791</v>
      </c>
      <c r="G75" s="118" t="s">
        <v>258</v>
      </c>
      <c r="H75" s="117" t="s">
        <v>259</v>
      </c>
      <c r="I75" s="116" t="s">
        <v>260</v>
      </c>
      <c r="J75" s="117" t="s">
        <v>261</v>
      </c>
      <c r="K75" s="107" t="s">
        <v>228</v>
      </c>
      <c r="L75" s="424">
        <v>3.9</v>
      </c>
      <c r="M75" s="103" t="s">
        <v>229</v>
      </c>
    </row>
    <row r="76" spans="1:13">
      <c r="A76" s="96" t="s">
        <v>789</v>
      </c>
      <c r="B76" s="97" t="s">
        <v>257</v>
      </c>
      <c r="C76" s="97">
        <v>414</v>
      </c>
      <c r="D76" s="104">
        <v>4020270</v>
      </c>
      <c r="E76" s="115" t="s">
        <v>895</v>
      </c>
      <c r="F76" s="105" t="s">
        <v>792</v>
      </c>
      <c r="G76" s="118" t="s">
        <v>258</v>
      </c>
      <c r="H76" s="117" t="s">
        <v>259</v>
      </c>
      <c r="I76" s="116" t="s">
        <v>260</v>
      </c>
      <c r="J76" s="117" t="s">
        <v>261</v>
      </c>
      <c r="K76" s="107" t="s">
        <v>228</v>
      </c>
      <c r="L76" s="424">
        <v>3.9</v>
      </c>
      <c r="M76" s="103" t="s">
        <v>229</v>
      </c>
    </row>
    <row r="77" spans="1:13">
      <c r="A77" s="96" t="s">
        <v>789</v>
      </c>
      <c r="B77" s="97" t="s">
        <v>257</v>
      </c>
      <c r="C77" s="97">
        <v>416</v>
      </c>
      <c r="D77" s="104">
        <v>4020270</v>
      </c>
      <c r="E77" s="115" t="s">
        <v>895</v>
      </c>
      <c r="F77" s="105" t="s">
        <v>793</v>
      </c>
      <c r="G77" s="118" t="s">
        <v>258</v>
      </c>
      <c r="H77" s="117" t="s">
        <v>259</v>
      </c>
      <c r="I77" s="116" t="s">
        <v>260</v>
      </c>
      <c r="J77" s="117" t="s">
        <v>261</v>
      </c>
      <c r="K77" s="107" t="s">
        <v>228</v>
      </c>
      <c r="L77" s="424">
        <v>3.9</v>
      </c>
      <c r="M77" s="103" t="s">
        <v>229</v>
      </c>
    </row>
    <row r="78" spans="1:13">
      <c r="A78" s="96" t="s">
        <v>789</v>
      </c>
      <c r="B78" s="97" t="s">
        <v>257</v>
      </c>
      <c r="C78" s="97">
        <v>417</v>
      </c>
      <c r="D78" s="104">
        <v>4020270</v>
      </c>
      <c r="E78" s="115" t="s">
        <v>895</v>
      </c>
      <c r="F78" s="105" t="s">
        <v>794</v>
      </c>
      <c r="G78" s="118" t="s">
        <v>258</v>
      </c>
      <c r="H78" s="117" t="s">
        <v>259</v>
      </c>
      <c r="I78" s="116" t="s">
        <v>260</v>
      </c>
      <c r="J78" s="117" t="s">
        <v>261</v>
      </c>
      <c r="K78" s="107" t="s">
        <v>228</v>
      </c>
      <c r="L78" s="424">
        <v>3.9</v>
      </c>
      <c r="M78" s="103" t="s">
        <v>229</v>
      </c>
    </row>
    <row r="79" spans="1:13">
      <c r="A79" s="96" t="s">
        <v>789</v>
      </c>
      <c r="B79" s="97" t="s">
        <v>257</v>
      </c>
      <c r="C79" s="97">
        <v>418</v>
      </c>
      <c r="D79" s="104">
        <v>4020270</v>
      </c>
      <c r="E79" s="115" t="s">
        <v>895</v>
      </c>
      <c r="F79" s="105" t="s">
        <v>795</v>
      </c>
      <c r="G79" s="118" t="s">
        <v>258</v>
      </c>
      <c r="H79" s="117" t="s">
        <v>259</v>
      </c>
      <c r="I79" s="116" t="s">
        <v>260</v>
      </c>
      <c r="J79" s="117" t="s">
        <v>261</v>
      </c>
      <c r="K79" s="107" t="s">
        <v>228</v>
      </c>
      <c r="L79" s="424">
        <v>3.9</v>
      </c>
      <c r="M79" s="103" t="s">
        <v>229</v>
      </c>
    </row>
    <row r="80" spans="1:13">
      <c r="A80" s="96" t="s">
        <v>789</v>
      </c>
      <c r="B80" s="97" t="s">
        <v>257</v>
      </c>
      <c r="C80" s="97">
        <v>419</v>
      </c>
      <c r="D80" s="104">
        <v>4020270</v>
      </c>
      <c r="E80" s="115" t="s">
        <v>895</v>
      </c>
      <c r="F80" s="105" t="s">
        <v>796</v>
      </c>
      <c r="G80" s="118" t="s">
        <v>258</v>
      </c>
      <c r="H80" s="117" t="s">
        <v>259</v>
      </c>
      <c r="I80" s="116" t="s">
        <v>260</v>
      </c>
      <c r="J80" s="117" t="s">
        <v>261</v>
      </c>
      <c r="K80" s="107" t="s">
        <v>228</v>
      </c>
      <c r="L80" s="424">
        <v>3.9</v>
      </c>
      <c r="M80" s="103" t="s">
        <v>229</v>
      </c>
    </row>
    <row r="81" spans="1:13">
      <c r="A81" s="96" t="s">
        <v>789</v>
      </c>
      <c r="B81" s="97" t="s">
        <v>257</v>
      </c>
      <c r="C81" s="97">
        <v>420</v>
      </c>
      <c r="D81" s="104">
        <v>4020270</v>
      </c>
      <c r="E81" s="115" t="s">
        <v>895</v>
      </c>
      <c r="F81" s="105" t="s">
        <v>797</v>
      </c>
      <c r="G81" s="118" t="s">
        <v>258</v>
      </c>
      <c r="H81" s="117" t="s">
        <v>259</v>
      </c>
      <c r="I81" s="116" t="s">
        <v>260</v>
      </c>
      <c r="J81" s="117" t="s">
        <v>261</v>
      </c>
      <c r="K81" s="107" t="s">
        <v>228</v>
      </c>
      <c r="L81" s="424">
        <v>3.9</v>
      </c>
      <c r="M81" s="103" t="s">
        <v>229</v>
      </c>
    </row>
    <row r="82" spans="1:13">
      <c r="A82" s="96" t="s">
        <v>789</v>
      </c>
      <c r="B82" s="97" t="s">
        <v>257</v>
      </c>
      <c r="C82" s="97">
        <v>421</v>
      </c>
      <c r="D82" s="104">
        <v>4020270</v>
      </c>
      <c r="E82" s="115" t="s">
        <v>895</v>
      </c>
      <c r="F82" s="105" t="s">
        <v>262</v>
      </c>
      <c r="G82" s="118" t="s">
        <v>258</v>
      </c>
      <c r="H82" s="117" t="s">
        <v>259</v>
      </c>
      <c r="I82" s="116" t="s">
        <v>260</v>
      </c>
      <c r="J82" s="117" t="s">
        <v>261</v>
      </c>
      <c r="K82" s="107" t="s">
        <v>228</v>
      </c>
      <c r="L82" s="424">
        <v>3.9</v>
      </c>
      <c r="M82" s="103" t="s">
        <v>229</v>
      </c>
    </row>
    <row r="83" spans="1:13">
      <c r="A83" s="439" t="s">
        <v>292</v>
      </c>
      <c r="B83" s="440" t="s">
        <v>293</v>
      </c>
      <c r="C83" s="441">
        <v>6001</v>
      </c>
      <c r="D83" s="122">
        <v>12502370</v>
      </c>
      <c r="E83" s="437" t="s">
        <v>895</v>
      </c>
      <c r="F83" s="427" t="s">
        <v>798</v>
      </c>
      <c r="G83" s="442" t="s">
        <v>915</v>
      </c>
      <c r="H83" s="443" t="s">
        <v>237</v>
      </c>
      <c r="I83" s="444" t="s">
        <v>283</v>
      </c>
      <c r="J83" s="441" t="s">
        <v>284</v>
      </c>
      <c r="K83" s="141" t="s">
        <v>228</v>
      </c>
      <c r="L83" s="445">
        <v>8.75</v>
      </c>
      <c r="M83" s="446" t="s">
        <v>229</v>
      </c>
    </row>
    <row r="84" spans="1:13">
      <c r="A84" s="439" t="s">
        <v>292</v>
      </c>
      <c r="B84" s="440" t="s">
        <v>293</v>
      </c>
      <c r="C84" s="441" t="s">
        <v>916</v>
      </c>
      <c r="D84" s="122">
        <v>12502370</v>
      </c>
      <c r="E84" s="122" t="s">
        <v>800</v>
      </c>
      <c r="F84" s="427" t="s">
        <v>917</v>
      </c>
      <c r="G84" s="442" t="s">
        <v>915</v>
      </c>
      <c r="H84" s="443" t="s">
        <v>237</v>
      </c>
      <c r="I84" s="444" t="s">
        <v>283</v>
      </c>
      <c r="J84" s="441" t="s">
        <v>284</v>
      </c>
      <c r="K84" s="141" t="s">
        <v>228</v>
      </c>
      <c r="L84" s="445">
        <v>8.75</v>
      </c>
      <c r="M84" s="446" t="s">
        <v>229</v>
      </c>
    </row>
    <row r="85" spans="1:13" s="105" customFormat="1">
      <c r="A85" s="439" t="s">
        <v>292</v>
      </c>
      <c r="B85" s="440" t="s">
        <v>293</v>
      </c>
      <c r="C85" s="122">
        <v>6002</v>
      </c>
      <c r="D85" s="447">
        <v>12502370</v>
      </c>
      <c r="E85" s="437" t="s">
        <v>895</v>
      </c>
      <c r="F85" s="124" t="s">
        <v>799</v>
      </c>
      <c r="G85" s="442" t="s">
        <v>915</v>
      </c>
      <c r="H85" s="443" t="s">
        <v>237</v>
      </c>
      <c r="I85" s="444" t="s">
        <v>283</v>
      </c>
      <c r="J85" s="441" t="s">
        <v>284</v>
      </c>
      <c r="K85" s="141" t="s">
        <v>228</v>
      </c>
      <c r="L85" s="445">
        <v>8.75</v>
      </c>
      <c r="M85" s="448" t="s">
        <v>229</v>
      </c>
    </row>
    <row r="86" spans="1:13">
      <c r="A86" s="439" t="s">
        <v>292</v>
      </c>
      <c r="B86" s="440" t="s">
        <v>293</v>
      </c>
      <c r="C86" s="447" t="s">
        <v>918</v>
      </c>
      <c r="D86" s="447">
        <v>12502370</v>
      </c>
      <c r="E86" s="122" t="s">
        <v>800</v>
      </c>
      <c r="F86" s="124" t="s">
        <v>919</v>
      </c>
      <c r="G86" s="442" t="s">
        <v>915</v>
      </c>
      <c r="H86" s="443" t="s">
        <v>237</v>
      </c>
      <c r="I86" s="444" t="s">
        <v>283</v>
      </c>
      <c r="J86" s="441" t="s">
        <v>284</v>
      </c>
      <c r="K86" s="141" t="s">
        <v>228</v>
      </c>
      <c r="L86" s="445">
        <v>8.75</v>
      </c>
      <c r="M86" s="448" t="s">
        <v>229</v>
      </c>
    </row>
    <row r="87" spans="1:13">
      <c r="A87" s="439" t="s">
        <v>292</v>
      </c>
      <c r="B87" s="440" t="s">
        <v>293</v>
      </c>
      <c r="C87" s="447">
        <v>6003</v>
      </c>
      <c r="D87" s="447">
        <v>12502370</v>
      </c>
      <c r="E87" s="437" t="s">
        <v>895</v>
      </c>
      <c r="F87" s="124" t="s">
        <v>294</v>
      </c>
      <c r="G87" s="442" t="s">
        <v>915</v>
      </c>
      <c r="H87" s="443" t="s">
        <v>237</v>
      </c>
      <c r="I87" s="444" t="s">
        <v>283</v>
      </c>
      <c r="J87" s="441" t="s">
        <v>284</v>
      </c>
      <c r="K87" s="141" t="s">
        <v>228</v>
      </c>
      <c r="L87" s="445">
        <v>8.75</v>
      </c>
      <c r="M87" s="449" t="s">
        <v>229</v>
      </c>
    </row>
    <row r="88" spans="1:13">
      <c r="A88" s="439" t="s">
        <v>292</v>
      </c>
      <c r="B88" s="440" t="s">
        <v>293</v>
      </c>
      <c r="C88" s="129">
        <v>6004</v>
      </c>
      <c r="D88" s="122">
        <v>12502370</v>
      </c>
      <c r="E88" s="437" t="s">
        <v>895</v>
      </c>
      <c r="F88" s="124" t="s">
        <v>801</v>
      </c>
      <c r="G88" s="442" t="s">
        <v>915</v>
      </c>
      <c r="H88" s="443" t="s">
        <v>237</v>
      </c>
      <c r="I88" s="444" t="s">
        <v>283</v>
      </c>
      <c r="J88" s="441" t="s">
        <v>284</v>
      </c>
      <c r="K88" s="141" t="s">
        <v>228</v>
      </c>
      <c r="L88" s="445">
        <v>8.75</v>
      </c>
      <c r="M88" s="448" t="s">
        <v>229</v>
      </c>
    </row>
    <row r="89" spans="1:13">
      <c r="A89" s="439" t="s">
        <v>292</v>
      </c>
      <c r="B89" s="440" t="s">
        <v>293</v>
      </c>
      <c r="C89" s="122">
        <v>6005</v>
      </c>
      <c r="D89" s="122">
        <v>12502370</v>
      </c>
      <c r="E89" s="437" t="s">
        <v>895</v>
      </c>
      <c r="F89" s="124" t="s">
        <v>295</v>
      </c>
      <c r="G89" s="442" t="s">
        <v>915</v>
      </c>
      <c r="H89" s="443" t="s">
        <v>237</v>
      </c>
      <c r="I89" s="444" t="s">
        <v>283</v>
      </c>
      <c r="J89" s="441" t="s">
        <v>284</v>
      </c>
      <c r="K89" s="141" t="s">
        <v>228</v>
      </c>
      <c r="L89" s="445">
        <v>8.75</v>
      </c>
      <c r="M89" s="448" t="s">
        <v>229</v>
      </c>
    </row>
    <row r="90" spans="1:13">
      <c r="A90" s="439" t="s">
        <v>292</v>
      </c>
      <c r="B90" s="440" t="s">
        <v>293</v>
      </c>
      <c r="C90" s="122">
        <v>6006</v>
      </c>
      <c r="D90" s="122">
        <v>12502370</v>
      </c>
      <c r="E90" s="437" t="s">
        <v>895</v>
      </c>
      <c r="F90" s="124" t="s">
        <v>296</v>
      </c>
      <c r="G90" s="442" t="s">
        <v>915</v>
      </c>
      <c r="H90" s="443" t="s">
        <v>237</v>
      </c>
      <c r="I90" s="444" t="s">
        <v>283</v>
      </c>
      <c r="J90" s="441" t="s">
        <v>284</v>
      </c>
      <c r="K90" s="141" t="s">
        <v>228</v>
      </c>
      <c r="L90" s="445">
        <v>8.75</v>
      </c>
      <c r="M90" s="448" t="s">
        <v>229</v>
      </c>
    </row>
    <row r="91" spans="1:13">
      <c r="A91" s="439" t="s">
        <v>292</v>
      </c>
      <c r="B91" s="440" t="s">
        <v>293</v>
      </c>
      <c r="C91" s="122" t="s">
        <v>920</v>
      </c>
      <c r="D91" s="122">
        <v>12502370</v>
      </c>
      <c r="E91" s="122" t="s">
        <v>800</v>
      </c>
      <c r="F91" s="124" t="s">
        <v>921</v>
      </c>
      <c r="G91" s="442" t="s">
        <v>915</v>
      </c>
      <c r="H91" s="443" t="s">
        <v>237</v>
      </c>
      <c r="I91" s="444" t="s">
        <v>283</v>
      </c>
      <c r="J91" s="441" t="s">
        <v>284</v>
      </c>
      <c r="K91" s="141" t="s">
        <v>228</v>
      </c>
      <c r="L91" s="445">
        <v>8.75</v>
      </c>
      <c r="M91" s="446" t="s">
        <v>229</v>
      </c>
    </row>
    <row r="92" spans="1:13">
      <c r="A92" s="450" t="s">
        <v>292</v>
      </c>
      <c r="B92" s="440" t="s">
        <v>293</v>
      </c>
      <c r="C92" s="122">
        <v>6007</v>
      </c>
      <c r="D92" s="122">
        <v>12502370</v>
      </c>
      <c r="E92" s="437" t="s">
        <v>895</v>
      </c>
      <c r="F92" s="124" t="s">
        <v>297</v>
      </c>
      <c r="G92" s="442" t="s">
        <v>915</v>
      </c>
      <c r="H92" s="440" t="s">
        <v>237</v>
      </c>
      <c r="I92" s="451" t="s">
        <v>283</v>
      </c>
      <c r="J92" s="122" t="s">
        <v>284</v>
      </c>
      <c r="K92" s="128" t="s">
        <v>228</v>
      </c>
      <c r="L92" s="445">
        <v>8.75</v>
      </c>
      <c r="M92" s="448" t="s">
        <v>229</v>
      </c>
    </row>
    <row r="93" spans="1:13">
      <c r="A93" s="450" t="s">
        <v>292</v>
      </c>
      <c r="B93" s="440" t="s">
        <v>293</v>
      </c>
      <c r="C93" s="440">
        <v>6011</v>
      </c>
      <c r="D93" s="122">
        <v>12502370</v>
      </c>
      <c r="E93" s="437" t="s">
        <v>895</v>
      </c>
      <c r="F93" s="124" t="s">
        <v>298</v>
      </c>
      <c r="G93" s="442" t="s">
        <v>915</v>
      </c>
      <c r="H93" s="440" t="s">
        <v>237</v>
      </c>
      <c r="I93" s="451" t="s">
        <v>283</v>
      </c>
      <c r="J93" s="122" t="s">
        <v>284</v>
      </c>
      <c r="K93" s="128" t="s">
        <v>228</v>
      </c>
      <c r="L93" s="445">
        <v>8.75</v>
      </c>
      <c r="M93" s="448" t="s">
        <v>229</v>
      </c>
    </row>
    <row r="94" spans="1:13">
      <c r="A94" s="450" t="s">
        <v>292</v>
      </c>
      <c r="B94" s="440" t="s">
        <v>293</v>
      </c>
      <c r="C94" s="440">
        <v>6012</v>
      </c>
      <c r="D94" s="122">
        <v>12502370</v>
      </c>
      <c r="E94" s="437" t="s">
        <v>895</v>
      </c>
      <c r="F94" s="124" t="s">
        <v>299</v>
      </c>
      <c r="G94" s="442" t="s">
        <v>915</v>
      </c>
      <c r="H94" s="440" t="s">
        <v>237</v>
      </c>
      <c r="I94" s="451" t="s">
        <v>283</v>
      </c>
      <c r="J94" s="122" t="s">
        <v>284</v>
      </c>
      <c r="K94" s="128" t="s">
        <v>228</v>
      </c>
      <c r="L94" s="445">
        <v>8.75</v>
      </c>
      <c r="M94" s="448" t="s">
        <v>229</v>
      </c>
    </row>
    <row r="95" spans="1:13">
      <c r="A95" s="450" t="s">
        <v>292</v>
      </c>
      <c r="B95" s="440" t="s">
        <v>293</v>
      </c>
      <c r="C95" s="440">
        <v>6013</v>
      </c>
      <c r="D95" s="122">
        <v>12502370</v>
      </c>
      <c r="E95" s="437" t="s">
        <v>895</v>
      </c>
      <c r="F95" s="124" t="s">
        <v>300</v>
      </c>
      <c r="G95" s="442" t="s">
        <v>915</v>
      </c>
      <c r="H95" s="440" t="s">
        <v>237</v>
      </c>
      <c r="I95" s="451" t="s">
        <v>283</v>
      </c>
      <c r="J95" s="122" t="s">
        <v>284</v>
      </c>
      <c r="K95" s="128" t="s">
        <v>228</v>
      </c>
      <c r="L95" s="445">
        <v>8.75</v>
      </c>
      <c r="M95" s="448" t="s">
        <v>229</v>
      </c>
    </row>
    <row r="96" spans="1:13">
      <c r="A96" s="450" t="s">
        <v>292</v>
      </c>
      <c r="B96" s="440" t="s">
        <v>293</v>
      </c>
      <c r="C96" s="440">
        <v>6014</v>
      </c>
      <c r="D96" s="122">
        <v>12502370</v>
      </c>
      <c r="E96" s="437" t="s">
        <v>895</v>
      </c>
      <c r="F96" s="124" t="s">
        <v>922</v>
      </c>
      <c r="G96" s="442" t="s">
        <v>915</v>
      </c>
      <c r="H96" s="440" t="s">
        <v>237</v>
      </c>
      <c r="I96" s="451" t="s">
        <v>283</v>
      </c>
      <c r="J96" s="122" t="s">
        <v>284</v>
      </c>
      <c r="K96" s="128" t="s">
        <v>228</v>
      </c>
      <c r="L96" s="445">
        <v>8.75</v>
      </c>
      <c r="M96" s="448" t="s">
        <v>229</v>
      </c>
    </row>
    <row r="97" spans="1:13">
      <c r="A97" s="450" t="s">
        <v>292</v>
      </c>
      <c r="B97" s="440" t="s">
        <v>293</v>
      </c>
      <c r="C97" s="440">
        <v>6015</v>
      </c>
      <c r="D97" s="122">
        <v>12502370</v>
      </c>
      <c r="E97" s="437" t="s">
        <v>895</v>
      </c>
      <c r="F97" s="124" t="s">
        <v>923</v>
      </c>
      <c r="G97" s="442" t="s">
        <v>915</v>
      </c>
      <c r="H97" s="440" t="s">
        <v>237</v>
      </c>
      <c r="I97" s="451" t="s">
        <v>283</v>
      </c>
      <c r="J97" s="122" t="s">
        <v>284</v>
      </c>
      <c r="K97" s="128" t="s">
        <v>228</v>
      </c>
      <c r="L97" s="445">
        <v>8.75</v>
      </c>
      <c r="M97" s="448" t="s">
        <v>229</v>
      </c>
    </row>
    <row r="98" spans="1:13">
      <c r="A98" s="450" t="s">
        <v>292</v>
      </c>
      <c r="B98" s="440" t="s">
        <v>293</v>
      </c>
      <c r="C98" s="440">
        <v>6016</v>
      </c>
      <c r="D98" s="122">
        <v>12502370</v>
      </c>
      <c r="E98" s="437" t="s">
        <v>895</v>
      </c>
      <c r="F98" s="124" t="s">
        <v>924</v>
      </c>
      <c r="G98" s="442" t="s">
        <v>915</v>
      </c>
      <c r="H98" s="440" t="s">
        <v>237</v>
      </c>
      <c r="I98" s="451" t="s">
        <v>283</v>
      </c>
      <c r="J98" s="122" t="s">
        <v>284</v>
      </c>
      <c r="K98" s="128" t="s">
        <v>228</v>
      </c>
      <c r="L98" s="445">
        <v>8.75</v>
      </c>
      <c r="M98" s="448" t="s">
        <v>229</v>
      </c>
    </row>
    <row r="99" spans="1:13">
      <c r="A99" s="450" t="s">
        <v>292</v>
      </c>
      <c r="B99" s="440" t="s">
        <v>293</v>
      </c>
      <c r="C99" s="440">
        <v>6017</v>
      </c>
      <c r="D99" s="122">
        <v>12502370</v>
      </c>
      <c r="E99" s="437" t="s">
        <v>895</v>
      </c>
      <c r="F99" s="124" t="s">
        <v>301</v>
      </c>
      <c r="G99" s="442" t="s">
        <v>915</v>
      </c>
      <c r="H99" s="440" t="s">
        <v>237</v>
      </c>
      <c r="I99" s="451" t="s">
        <v>283</v>
      </c>
      <c r="J99" s="122" t="s">
        <v>284</v>
      </c>
      <c r="K99" s="128" t="s">
        <v>228</v>
      </c>
      <c r="L99" s="445">
        <v>8.75</v>
      </c>
      <c r="M99" s="448" t="s">
        <v>229</v>
      </c>
    </row>
    <row r="100" spans="1:13">
      <c r="A100" s="450" t="s">
        <v>292</v>
      </c>
      <c r="B100" s="440" t="s">
        <v>293</v>
      </c>
      <c r="C100" s="440" t="s">
        <v>925</v>
      </c>
      <c r="D100" s="122">
        <v>12502370</v>
      </c>
      <c r="E100" s="122" t="s">
        <v>800</v>
      </c>
      <c r="F100" s="124" t="s">
        <v>926</v>
      </c>
      <c r="G100" s="442" t="s">
        <v>915</v>
      </c>
      <c r="H100" s="440" t="s">
        <v>237</v>
      </c>
      <c r="I100" s="451" t="s">
        <v>283</v>
      </c>
      <c r="J100" s="122" t="s">
        <v>284</v>
      </c>
      <c r="K100" s="128" t="s">
        <v>228</v>
      </c>
      <c r="L100" s="445">
        <v>8.75</v>
      </c>
      <c r="M100" s="448" t="s">
        <v>229</v>
      </c>
    </row>
    <row r="101" spans="1:13">
      <c r="A101" s="450" t="s">
        <v>292</v>
      </c>
      <c r="B101" s="440" t="s">
        <v>293</v>
      </c>
      <c r="C101" s="440">
        <v>6026</v>
      </c>
      <c r="D101" s="122">
        <v>12502370</v>
      </c>
      <c r="E101" s="437" t="s">
        <v>895</v>
      </c>
      <c r="F101" s="124" t="s">
        <v>802</v>
      </c>
      <c r="G101" s="442" t="s">
        <v>915</v>
      </c>
      <c r="H101" s="440" t="s">
        <v>237</v>
      </c>
      <c r="I101" s="451" t="s">
        <v>283</v>
      </c>
      <c r="J101" s="122" t="s">
        <v>284</v>
      </c>
      <c r="K101" s="128" t="s">
        <v>228</v>
      </c>
      <c r="L101" s="445">
        <v>8.75</v>
      </c>
      <c r="M101" s="448" t="s">
        <v>229</v>
      </c>
    </row>
    <row r="102" spans="1:13">
      <c r="A102" s="450" t="s">
        <v>292</v>
      </c>
      <c r="B102" s="440" t="s">
        <v>293</v>
      </c>
      <c r="C102" s="440">
        <v>6051</v>
      </c>
      <c r="D102" s="122">
        <v>12502370</v>
      </c>
      <c r="E102" s="437" t="s">
        <v>895</v>
      </c>
      <c r="F102" s="124" t="s">
        <v>927</v>
      </c>
      <c r="G102" s="442" t="s">
        <v>915</v>
      </c>
      <c r="H102" s="440" t="s">
        <v>237</v>
      </c>
      <c r="I102" s="451" t="s">
        <v>283</v>
      </c>
      <c r="J102" s="122" t="s">
        <v>284</v>
      </c>
      <c r="K102" s="128" t="s">
        <v>228</v>
      </c>
      <c r="L102" s="445">
        <v>8.75</v>
      </c>
      <c r="M102" s="446" t="s">
        <v>229</v>
      </c>
    </row>
    <row r="103" spans="1:13">
      <c r="A103" s="450" t="s">
        <v>292</v>
      </c>
      <c r="B103" s="440" t="s">
        <v>293</v>
      </c>
      <c r="C103" s="440" t="s">
        <v>302</v>
      </c>
      <c r="D103" s="122">
        <v>12502370</v>
      </c>
      <c r="E103" s="122" t="s">
        <v>800</v>
      </c>
      <c r="F103" s="124" t="s">
        <v>803</v>
      </c>
      <c r="G103" s="442" t="s">
        <v>915</v>
      </c>
      <c r="H103" s="440" t="s">
        <v>237</v>
      </c>
      <c r="I103" s="451" t="s">
        <v>283</v>
      </c>
      <c r="J103" s="122" t="s">
        <v>284</v>
      </c>
      <c r="K103" s="128" t="s">
        <v>228</v>
      </c>
      <c r="L103" s="445">
        <v>8.75</v>
      </c>
      <c r="M103" s="448" t="s">
        <v>229</v>
      </c>
    </row>
    <row r="104" spans="1:13">
      <c r="A104" s="450" t="s">
        <v>292</v>
      </c>
      <c r="B104" s="440" t="s">
        <v>293</v>
      </c>
      <c r="C104" s="440" t="s">
        <v>303</v>
      </c>
      <c r="D104" s="122">
        <v>12502370</v>
      </c>
      <c r="E104" s="122" t="s">
        <v>800</v>
      </c>
      <c r="F104" s="124" t="s">
        <v>804</v>
      </c>
      <c r="G104" s="442" t="s">
        <v>915</v>
      </c>
      <c r="H104" s="440" t="s">
        <v>237</v>
      </c>
      <c r="I104" s="451" t="s">
        <v>283</v>
      </c>
      <c r="J104" s="122" t="s">
        <v>284</v>
      </c>
      <c r="K104" s="128" t="s">
        <v>228</v>
      </c>
      <c r="L104" s="445">
        <v>8.75</v>
      </c>
      <c r="M104" s="448" t="s">
        <v>229</v>
      </c>
    </row>
    <row r="105" spans="1:13">
      <c r="A105" s="450" t="s">
        <v>292</v>
      </c>
      <c r="B105" s="440" t="s">
        <v>293</v>
      </c>
      <c r="C105" s="122">
        <v>6070</v>
      </c>
      <c r="D105" s="122">
        <v>12502370</v>
      </c>
      <c r="E105" s="437" t="s">
        <v>895</v>
      </c>
      <c r="F105" s="124" t="s">
        <v>304</v>
      </c>
      <c r="G105" s="442" t="s">
        <v>915</v>
      </c>
      <c r="H105" s="440" t="s">
        <v>237</v>
      </c>
      <c r="I105" s="451" t="s">
        <v>283</v>
      </c>
      <c r="J105" s="122" t="s">
        <v>284</v>
      </c>
      <c r="K105" s="128" t="s">
        <v>228</v>
      </c>
      <c r="L105" s="445">
        <v>8.75</v>
      </c>
      <c r="M105" s="448" t="s">
        <v>229</v>
      </c>
    </row>
    <row r="106" spans="1:13">
      <c r="A106" s="450" t="s">
        <v>292</v>
      </c>
      <c r="B106" s="440" t="s">
        <v>293</v>
      </c>
      <c r="C106" s="122">
        <v>6071</v>
      </c>
      <c r="D106" s="122">
        <v>12502370</v>
      </c>
      <c r="E106" s="437" t="s">
        <v>895</v>
      </c>
      <c r="F106" s="124" t="s">
        <v>305</v>
      </c>
      <c r="G106" s="442" t="s">
        <v>915</v>
      </c>
      <c r="H106" s="440" t="s">
        <v>237</v>
      </c>
      <c r="I106" s="451" t="s">
        <v>283</v>
      </c>
      <c r="J106" s="122" t="s">
        <v>284</v>
      </c>
      <c r="K106" s="128" t="s">
        <v>228</v>
      </c>
      <c r="L106" s="445">
        <v>8.75</v>
      </c>
      <c r="M106" s="448" t="s">
        <v>229</v>
      </c>
    </row>
    <row r="107" spans="1:13">
      <c r="A107" s="450" t="s">
        <v>292</v>
      </c>
      <c r="B107" s="440" t="s">
        <v>293</v>
      </c>
      <c r="C107" s="122" t="s">
        <v>306</v>
      </c>
      <c r="D107" s="122">
        <v>12502370</v>
      </c>
      <c r="E107" s="122" t="s">
        <v>800</v>
      </c>
      <c r="F107" s="124" t="s">
        <v>928</v>
      </c>
      <c r="G107" s="442" t="s">
        <v>915</v>
      </c>
      <c r="H107" s="440" t="s">
        <v>237</v>
      </c>
      <c r="I107" s="451" t="s">
        <v>283</v>
      </c>
      <c r="J107" s="122" t="s">
        <v>284</v>
      </c>
      <c r="K107" s="128" t="s">
        <v>228</v>
      </c>
      <c r="L107" s="445">
        <v>8.75</v>
      </c>
      <c r="M107" s="448" t="s">
        <v>229</v>
      </c>
    </row>
    <row r="108" spans="1:13">
      <c r="A108" s="450" t="s">
        <v>292</v>
      </c>
      <c r="B108" s="440" t="s">
        <v>293</v>
      </c>
      <c r="C108" s="440">
        <v>6072</v>
      </c>
      <c r="D108" s="122">
        <v>12502370</v>
      </c>
      <c r="E108" s="437" t="s">
        <v>895</v>
      </c>
      <c r="F108" s="124" t="s">
        <v>805</v>
      </c>
      <c r="G108" s="442" t="s">
        <v>915</v>
      </c>
      <c r="H108" s="440" t="s">
        <v>237</v>
      </c>
      <c r="I108" s="451" t="s">
        <v>283</v>
      </c>
      <c r="J108" s="122" t="s">
        <v>284</v>
      </c>
      <c r="K108" s="128" t="s">
        <v>228</v>
      </c>
      <c r="L108" s="445">
        <v>8.75</v>
      </c>
      <c r="M108" s="448" t="s">
        <v>229</v>
      </c>
    </row>
    <row r="109" spans="1:13">
      <c r="A109" s="450" t="s">
        <v>292</v>
      </c>
      <c r="B109" s="440" t="s">
        <v>293</v>
      </c>
      <c r="C109" s="122">
        <v>6073</v>
      </c>
      <c r="D109" s="122">
        <v>12502370</v>
      </c>
      <c r="E109" s="437" t="s">
        <v>895</v>
      </c>
      <c r="F109" s="124" t="s">
        <v>307</v>
      </c>
      <c r="G109" s="442" t="s">
        <v>915</v>
      </c>
      <c r="H109" s="440" t="s">
        <v>237</v>
      </c>
      <c r="I109" s="451" t="s">
        <v>283</v>
      </c>
      <c r="J109" s="122" t="s">
        <v>284</v>
      </c>
      <c r="K109" s="128" t="s">
        <v>228</v>
      </c>
      <c r="L109" s="445">
        <v>8.75</v>
      </c>
      <c r="M109" s="448" t="s">
        <v>229</v>
      </c>
    </row>
    <row r="110" spans="1:13">
      <c r="A110" s="450" t="s">
        <v>292</v>
      </c>
      <c r="B110" s="440" t="s">
        <v>293</v>
      </c>
      <c r="C110" s="122" t="s">
        <v>308</v>
      </c>
      <c r="D110" s="122">
        <v>12502370</v>
      </c>
      <c r="E110" s="122" t="s">
        <v>800</v>
      </c>
      <c r="F110" s="124" t="s">
        <v>929</v>
      </c>
      <c r="G110" s="442" t="s">
        <v>915</v>
      </c>
      <c r="H110" s="440" t="s">
        <v>237</v>
      </c>
      <c r="I110" s="451" t="s">
        <v>283</v>
      </c>
      <c r="J110" s="122" t="s">
        <v>284</v>
      </c>
      <c r="K110" s="128" t="s">
        <v>228</v>
      </c>
      <c r="L110" s="445">
        <v>8.75</v>
      </c>
      <c r="M110" s="448" t="s">
        <v>229</v>
      </c>
    </row>
    <row r="111" spans="1:13">
      <c r="A111" s="450" t="s">
        <v>292</v>
      </c>
      <c r="B111" s="440" t="s">
        <v>293</v>
      </c>
      <c r="C111" s="122">
        <v>6074</v>
      </c>
      <c r="D111" s="122">
        <v>12502370</v>
      </c>
      <c r="E111" s="437" t="s">
        <v>895</v>
      </c>
      <c r="F111" s="124" t="s">
        <v>930</v>
      </c>
      <c r="G111" s="442" t="s">
        <v>915</v>
      </c>
      <c r="H111" s="440" t="s">
        <v>237</v>
      </c>
      <c r="I111" s="451" t="s">
        <v>283</v>
      </c>
      <c r="J111" s="122" t="s">
        <v>284</v>
      </c>
      <c r="K111" s="128" t="s">
        <v>228</v>
      </c>
      <c r="L111" s="445">
        <v>8.75</v>
      </c>
      <c r="M111" s="448" t="s">
        <v>229</v>
      </c>
    </row>
    <row r="112" spans="1:13">
      <c r="A112" s="450" t="s">
        <v>292</v>
      </c>
      <c r="B112" s="440" t="s">
        <v>293</v>
      </c>
      <c r="C112" s="122" t="s">
        <v>309</v>
      </c>
      <c r="D112" s="122">
        <v>12502370</v>
      </c>
      <c r="E112" s="122" t="s">
        <v>800</v>
      </c>
      <c r="F112" s="124" t="s">
        <v>806</v>
      </c>
      <c r="G112" s="442" t="s">
        <v>915</v>
      </c>
      <c r="H112" s="440" t="s">
        <v>237</v>
      </c>
      <c r="I112" s="451" t="s">
        <v>283</v>
      </c>
      <c r="J112" s="122" t="s">
        <v>284</v>
      </c>
      <c r="K112" s="128" t="s">
        <v>228</v>
      </c>
      <c r="L112" s="445">
        <v>8.75</v>
      </c>
      <c r="M112" s="448" t="s">
        <v>229</v>
      </c>
    </row>
    <row r="113" spans="1:13">
      <c r="A113" s="450" t="s">
        <v>292</v>
      </c>
      <c r="B113" s="440" t="s">
        <v>293</v>
      </c>
      <c r="C113" s="122">
        <v>6075</v>
      </c>
      <c r="D113" s="122">
        <v>12502370</v>
      </c>
      <c r="E113" s="437" t="s">
        <v>895</v>
      </c>
      <c r="F113" s="124" t="s">
        <v>931</v>
      </c>
      <c r="G113" s="442" t="s">
        <v>915</v>
      </c>
      <c r="H113" s="440" t="s">
        <v>237</v>
      </c>
      <c r="I113" s="451" t="s">
        <v>283</v>
      </c>
      <c r="J113" s="122" t="s">
        <v>284</v>
      </c>
      <c r="K113" s="128" t="s">
        <v>228</v>
      </c>
      <c r="L113" s="445">
        <v>8.75</v>
      </c>
      <c r="M113" s="448" t="s">
        <v>229</v>
      </c>
    </row>
    <row r="114" spans="1:13">
      <c r="A114" s="450" t="s">
        <v>292</v>
      </c>
      <c r="B114" s="440" t="s">
        <v>293</v>
      </c>
      <c r="C114" s="122" t="s">
        <v>310</v>
      </c>
      <c r="D114" s="122">
        <v>12502370</v>
      </c>
      <c r="E114" s="122" t="s">
        <v>800</v>
      </c>
      <c r="F114" s="124" t="s">
        <v>807</v>
      </c>
      <c r="G114" s="442" t="s">
        <v>915</v>
      </c>
      <c r="H114" s="440" t="s">
        <v>237</v>
      </c>
      <c r="I114" s="451" t="s">
        <v>283</v>
      </c>
      <c r="J114" s="122" t="s">
        <v>284</v>
      </c>
      <c r="K114" s="128" t="s">
        <v>228</v>
      </c>
      <c r="L114" s="445">
        <v>8.75</v>
      </c>
      <c r="M114" s="448" t="s">
        <v>229</v>
      </c>
    </row>
    <row r="115" spans="1:13">
      <c r="A115" s="450" t="s">
        <v>292</v>
      </c>
      <c r="B115" s="440" t="s">
        <v>293</v>
      </c>
      <c r="C115" s="122">
        <v>6302</v>
      </c>
      <c r="D115" s="122">
        <v>12502370</v>
      </c>
      <c r="E115" s="437" t="s">
        <v>895</v>
      </c>
      <c r="F115" s="124" t="s">
        <v>311</v>
      </c>
      <c r="G115" s="442" t="s">
        <v>915</v>
      </c>
      <c r="H115" s="440" t="s">
        <v>237</v>
      </c>
      <c r="I115" s="451" t="s">
        <v>283</v>
      </c>
      <c r="J115" s="122" t="s">
        <v>284</v>
      </c>
      <c r="K115" s="128" t="s">
        <v>228</v>
      </c>
      <c r="L115" s="445">
        <v>8.75</v>
      </c>
      <c r="M115" s="448" t="s">
        <v>229</v>
      </c>
    </row>
    <row r="116" spans="1:13">
      <c r="A116" s="450" t="s">
        <v>292</v>
      </c>
      <c r="B116" s="440" t="s">
        <v>293</v>
      </c>
      <c r="C116" s="122" t="s">
        <v>312</v>
      </c>
      <c r="D116" s="122">
        <v>12502370</v>
      </c>
      <c r="E116" s="122" t="s">
        <v>800</v>
      </c>
      <c r="F116" s="124" t="s">
        <v>808</v>
      </c>
      <c r="G116" s="442" t="s">
        <v>915</v>
      </c>
      <c r="H116" s="440" t="s">
        <v>237</v>
      </c>
      <c r="I116" s="451" t="s">
        <v>283</v>
      </c>
      <c r="J116" s="122" t="s">
        <v>284</v>
      </c>
      <c r="K116" s="128" t="s">
        <v>228</v>
      </c>
      <c r="L116" s="445">
        <v>8.75</v>
      </c>
      <c r="M116" s="448" t="s">
        <v>229</v>
      </c>
    </row>
    <row r="117" spans="1:13">
      <c r="A117" s="450" t="s">
        <v>292</v>
      </c>
      <c r="B117" s="440" t="s">
        <v>293</v>
      </c>
      <c r="C117" s="122">
        <v>6303</v>
      </c>
      <c r="D117" s="122">
        <v>12502370</v>
      </c>
      <c r="E117" s="437" t="s">
        <v>895</v>
      </c>
      <c r="F117" s="124" t="s">
        <v>932</v>
      </c>
      <c r="G117" s="442" t="s">
        <v>915</v>
      </c>
      <c r="H117" s="440" t="s">
        <v>237</v>
      </c>
      <c r="I117" s="451" t="s">
        <v>283</v>
      </c>
      <c r="J117" s="122" t="s">
        <v>284</v>
      </c>
      <c r="K117" s="128" t="s">
        <v>228</v>
      </c>
      <c r="L117" s="445">
        <v>8.75</v>
      </c>
      <c r="M117" s="448" t="s">
        <v>229</v>
      </c>
    </row>
    <row r="118" spans="1:13">
      <c r="A118" s="450" t="s">
        <v>292</v>
      </c>
      <c r="B118" s="440" t="s">
        <v>293</v>
      </c>
      <c r="C118" s="440">
        <v>6307</v>
      </c>
      <c r="D118" s="122">
        <v>12502370</v>
      </c>
      <c r="E118" s="437" t="s">
        <v>895</v>
      </c>
      <c r="F118" s="124" t="s">
        <v>313</v>
      </c>
      <c r="G118" s="442" t="s">
        <v>915</v>
      </c>
      <c r="H118" s="440" t="s">
        <v>237</v>
      </c>
      <c r="I118" s="451" t="s">
        <v>283</v>
      </c>
      <c r="J118" s="122" t="s">
        <v>284</v>
      </c>
      <c r="K118" s="128" t="s">
        <v>228</v>
      </c>
      <c r="L118" s="445">
        <v>8.75</v>
      </c>
      <c r="M118" s="448" t="s">
        <v>229</v>
      </c>
    </row>
    <row r="119" spans="1:13">
      <c r="A119" s="450" t="s">
        <v>292</v>
      </c>
      <c r="B119" s="440" t="s">
        <v>293</v>
      </c>
      <c r="C119" s="440" t="s">
        <v>933</v>
      </c>
      <c r="D119" s="122">
        <v>12502370</v>
      </c>
      <c r="E119" s="122" t="s">
        <v>800</v>
      </c>
      <c r="F119" s="124" t="s">
        <v>934</v>
      </c>
      <c r="G119" s="442" t="s">
        <v>915</v>
      </c>
      <c r="H119" s="440" t="s">
        <v>237</v>
      </c>
      <c r="I119" s="451" t="s">
        <v>283</v>
      </c>
      <c r="J119" s="122" t="s">
        <v>284</v>
      </c>
      <c r="K119" s="128" t="s">
        <v>228</v>
      </c>
      <c r="L119" s="445">
        <v>8.75</v>
      </c>
      <c r="M119" s="448" t="s">
        <v>229</v>
      </c>
    </row>
    <row r="120" spans="1:13">
      <c r="A120" s="450" t="s">
        <v>292</v>
      </c>
      <c r="B120" s="440" t="s">
        <v>293</v>
      </c>
      <c r="C120" s="122">
        <v>6322</v>
      </c>
      <c r="D120" s="122">
        <v>12502370</v>
      </c>
      <c r="E120" s="437" t="s">
        <v>895</v>
      </c>
      <c r="F120" s="124" t="s">
        <v>314</v>
      </c>
      <c r="G120" s="442" t="s">
        <v>915</v>
      </c>
      <c r="H120" s="440" t="s">
        <v>237</v>
      </c>
      <c r="I120" s="451" t="s">
        <v>283</v>
      </c>
      <c r="J120" s="122" t="s">
        <v>284</v>
      </c>
      <c r="K120" s="128" t="s">
        <v>228</v>
      </c>
      <c r="L120" s="445">
        <v>8.75</v>
      </c>
      <c r="M120" s="448" t="s">
        <v>229</v>
      </c>
    </row>
    <row r="121" spans="1:13">
      <c r="A121" s="450" t="s">
        <v>292</v>
      </c>
      <c r="B121" s="440" t="s">
        <v>293</v>
      </c>
      <c r="C121" s="122">
        <v>6008</v>
      </c>
      <c r="D121" s="122">
        <v>12502370</v>
      </c>
      <c r="E121" s="437" t="s">
        <v>895</v>
      </c>
      <c r="F121" s="124" t="s">
        <v>318</v>
      </c>
      <c r="G121" s="442" t="s">
        <v>915</v>
      </c>
      <c r="H121" s="440" t="s">
        <v>237</v>
      </c>
      <c r="I121" s="452" t="s">
        <v>283</v>
      </c>
      <c r="J121" s="122" t="s">
        <v>284</v>
      </c>
      <c r="K121" s="128" t="s">
        <v>228</v>
      </c>
      <c r="L121" s="445">
        <v>8.75</v>
      </c>
      <c r="M121" s="448" t="s">
        <v>229</v>
      </c>
    </row>
    <row r="122" spans="1:13">
      <c r="A122" s="450" t="s">
        <v>292</v>
      </c>
      <c r="B122" s="440" t="s">
        <v>293</v>
      </c>
      <c r="C122" s="122">
        <v>6078</v>
      </c>
      <c r="D122" s="122">
        <v>12502370</v>
      </c>
      <c r="E122" s="437" t="s">
        <v>895</v>
      </c>
      <c r="F122" s="124" t="s">
        <v>809</v>
      </c>
      <c r="G122" s="442" t="s">
        <v>915</v>
      </c>
      <c r="H122" s="440" t="s">
        <v>237</v>
      </c>
      <c r="I122" s="452" t="s">
        <v>283</v>
      </c>
      <c r="J122" s="122" t="s">
        <v>284</v>
      </c>
      <c r="K122" s="128" t="s">
        <v>228</v>
      </c>
      <c r="L122" s="445">
        <v>8.75</v>
      </c>
      <c r="M122" s="448" t="s">
        <v>229</v>
      </c>
    </row>
    <row r="123" spans="1:13">
      <c r="A123" s="450" t="s">
        <v>292</v>
      </c>
      <c r="B123" s="440" t="s">
        <v>293</v>
      </c>
      <c r="C123" s="122" t="s">
        <v>319</v>
      </c>
      <c r="D123" s="122">
        <v>12502370</v>
      </c>
      <c r="E123" s="122" t="s">
        <v>800</v>
      </c>
      <c r="F123" s="124" t="s">
        <v>810</v>
      </c>
      <c r="G123" s="442" t="s">
        <v>915</v>
      </c>
      <c r="H123" s="440" t="s">
        <v>237</v>
      </c>
      <c r="I123" s="452" t="s">
        <v>283</v>
      </c>
      <c r="J123" s="122" t="s">
        <v>284</v>
      </c>
      <c r="K123" s="128" t="s">
        <v>228</v>
      </c>
      <c r="L123" s="445">
        <v>8.75</v>
      </c>
      <c r="M123" s="448" t="s">
        <v>229</v>
      </c>
    </row>
    <row r="124" spans="1:13">
      <c r="A124" s="450" t="s">
        <v>292</v>
      </c>
      <c r="B124" s="440" t="s">
        <v>293</v>
      </c>
      <c r="C124" s="122">
        <v>6079</v>
      </c>
      <c r="D124" s="122">
        <v>12502370</v>
      </c>
      <c r="E124" s="437" t="s">
        <v>895</v>
      </c>
      <c r="F124" s="124" t="s">
        <v>320</v>
      </c>
      <c r="G124" s="442" t="s">
        <v>915</v>
      </c>
      <c r="H124" s="440" t="s">
        <v>237</v>
      </c>
      <c r="I124" s="452" t="s">
        <v>283</v>
      </c>
      <c r="J124" s="122" t="s">
        <v>284</v>
      </c>
      <c r="K124" s="128" t="s">
        <v>228</v>
      </c>
      <c r="L124" s="445">
        <v>8.75</v>
      </c>
      <c r="M124" s="448" t="s">
        <v>229</v>
      </c>
    </row>
    <row r="125" spans="1:13">
      <c r="A125" s="450" t="s">
        <v>292</v>
      </c>
      <c r="B125" s="440" t="s">
        <v>293</v>
      </c>
      <c r="C125" s="122" t="s">
        <v>321</v>
      </c>
      <c r="D125" s="122">
        <v>12502370</v>
      </c>
      <c r="E125" s="122" t="s">
        <v>800</v>
      </c>
      <c r="F125" s="124" t="s">
        <v>811</v>
      </c>
      <c r="G125" s="442" t="s">
        <v>915</v>
      </c>
      <c r="H125" s="440" t="s">
        <v>237</v>
      </c>
      <c r="I125" s="452" t="s">
        <v>283</v>
      </c>
      <c r="J125" s="122" t="s">
        <v>284</v>
      </c>
      <c r="K125" s="128" t="s">
        <v>228</v>
      </c>
      <c r="L125" s="445">
        <v>8.75</v>
      </c>
      <c r="M125" s="448" t="s">
        <v>229</v>
      </c>
    </row>
    <row r="126" spans="1:13">
      <c r="A126" s="450" t="s">
        <v>292</v>
      </c>
      <c r="B126" s="440" t="s">
        <v>293</v>
      </c>
      <c r="C126" s="122" t="s">
        <v>322</v>
      </c>
      <c r="D126" s="122">
        <v>12502370</v>
      </c>
      <c r="E126" s="122" t="s">
        <v>800</v>
      </c>
      <c r="F126" s="124" t="s">
        <v>812</v>
      </c>
      <c r="G126" s="442" t="s">
        <v>915</v>
      </c>
      <c r="H126" s="440" t="s">
        <v>237</v>
      </c>
      <c r="I126" s="452" t="s">
        <v>283</v>
      </c>
      <c r="J126" s="122" t="s">
        <v>284</v>
      </c>
      <c r="K126" s="128" t="s">
        <v>228</v>
      </c>
      <c r="L126" s="445">
        <v>8.75</v>
      </c>
      <c r="M126" s="448" t="s">
        <v>229</v>
      </c>
    </row>
    <row r="127" spans="1:13">
      <c r="A127" s="120" t="s">
        <v>292</v>
      </c>
      <c r="B127" s="121" t="s">
        <v>293</v>
      </c>
      <c r="C127" s="123">
        <v>6803</v>
      </c>
      <c r="D127" s="123">
        <v>12502470</v>
      </c>
      <c r="E127" s="115" t="s">
        <v>895</v>
      </c>
      <c r="F127" s="124" t="s">
        <v>315</v>
      </c>
      <c r="G127" s="127" t="s">
        <v>915</v>
      </c>
      <c r="H127" s="121" t="s">
        <v>237</v>
      </c>
      <c r="I127" s="133" t="s">
        <v>316</v>
      </c>
      <c r="J127" s="123" t="s">
        <v>284</v>
      </c>
      <c r="K127" s="128" t="s">
        <v>228</v>
      </c>
      <c r="L127" s="424">
        <v>10.050000000000001</v>
      </c>
      <c r="M127" s="103" t="s">
        <v>229</v>
      </c>
    </row>
    <row r="128" spans="1:13">
      <c r="A128" s="120" t="s">
        <v>292</v>
      </c>
      <c r="B128" s="121" t="s">
        <v>293</v>
      </c>
      <c r="C128" s="123">
        <v>6802</v>
      </c>
      <c r="D128" s="123">
        <v>12502470</v>
      </c>
      <c r="E128" s="115" t="s">
        <v>895</v>
      </c>
      <c r="F128" s="124" t="s">
        <v>935</v>
      </c>
      <c r="G128" s="127" t="s">
        <v>915</v>
      </c>
      <c r="H128" s="121" t="s">
        <v>237</v>
      </c>
      <c r="I128" s="133" t="s">
        <v>316</v>
      </c>
      <c r="J128" s="123" t="s">
        <v>284</v>
      </c>
      <c r="K128" s="128" t="s">
        <v>228</v>
      </c>
      <c r="L128" s="424">
        <v>10.050000000000001</v>
      </c>
      <c r="M128" s="103" t="s">
        <v>229</v>
      </c>
    </row>
    <row r="129" spans="1:13">
      <c r="A129" s="120" t="s">
        <v>292</v>
      </c>
      <c r="B129" s="121" t="s">
        <v>293</v>
      </c>
      <c r="C129" s="123">
        <v>6805</v>
      </c>
      <c r="D129" s="123">
        <v>12502470</v>
      </c>
      <c r="E129" s="115" t="s">
        <v>895</v>
      </c>
      <c r="F129" s="124" t="s">
        <v>813</v>
      </c>
      <c r="G129" s="127" t="s">
        <v>915</v>
      </c>
      <c r="H129" s="121" t="s">
        <v>237</v>
      </c>
      <c r="I129" s="133" t="s">
        <v>316</v>
      </c>
      <c r="J129" s="123" t="s">
        <v>284</v>
      </c>
      <c r="K129" s="128" t="s">
        <v>228</v>
      </c>
      <c r="L129" s="424">
        <v>10.050000000000001</v>
      </c>
      <c r="M129" s="103" t="s">
        <v>229</v>
      </c>
    </row>
    <row r="130" spans="1:13">
      <c r="A130" s="120" t="s">
        <v>292</v>
      </c>
      <c r="B130" s="121" t="s">
        <v>293</v>
      </c>
      <c r="C130" s="123">
        <v>6804</v>
      </c>
      <c r="D130" s="123">
        <v>12502470</v>
      </c>
      <c r="E130" s="115" t="s">
        <v>895</v>
      </c>
      <c r="F130" s="124" t="s">
        <v>814</v>
      </c>
      <c r="G130" s="127" t="s">
        <v>915</v>
      </c>
      <c r="H130" s="121" t="s">
        <v>237</v>
      </c>
      <c r="I130" s="126" t="s">
        <v>316</v>
      </c>
      <c r="J130" s="123" t="s">
        <v>284</v>
      </c>
      <c r="K130" s="128" t="s">
        <v>228</v>
      </c>
      <c r="L130" s="424">
        <v>10.050000000000001</v>
      </c>
      <c r="M130" s="103" t="s">
        <v>229</v>
      </c>
    </row>
    <row r="131" spans="1:13">
      <c r="A131" s="120" t="s">
        <v>292</v>
      </c>
      <c r="B131" s="121" t="s">
        <v>293</v>
      </c>
      <c r="C131" s="123">
        <v>6705</v>
      </c>
      <c r="D131" s="123">
        <v>12502570</v>
      </c>
      <c r="E131" s="115" t="s">
        <v>895</v>
      </c>
      <c r="F131" s="124" t="s">
        <v>317</v>
      </c>
      <c r="G131" s="127" t="s">
        <v>915</v>
      </c>
      <c r="H131" s="121" t="s">
        <v>237</v>
      </c>
      <c r="I131" s="133" t="s">
        <v>285</v>
      </c>
      <c r="J131" s="123" t="s">
        <v>284</v>
      </c>
      <c r="K131" s="128" t="s">
        <v>228</v>
      </c>
      <c r="L131" s="424">
        <v>5.8</v>
      </c>
      <c r="M131" s="121" t="s">
        <v>229</v>
      </c>
    </row>
    <row r="132" spans="1:13">
      <c r="A132" s="120" t="s">
        <v>292</v>
      </c>
      <c r="B132" s="121" t="s">
        <v>293</v>
      </c>
      <c r="C132" s="123">
        <v>6706</v>
      </c>
      <c r="D132" s="123">
        <v>12502570</v>
      </c>
      <c r="E132" s="115" t="s">
        <v>895</v>
      </c>
      <c r="F132" s="124" t="s">
        <v>815</v>
      </c>
      <c r="G132" s="127" t="s">
        <v>915</v>
      </c>
      <c r="H132" s="121" t="s">
        <v>237</v>
      </c>
      <c r="I132" s="133" t="s">
        <v>285</v>
      </c>
      <c r="J132" s="123" t="s">
        <v>284</v>
      </c>
      <c r="K132" s="128" t="s">
        <v>228</v>
      </c>
      <c r="L132" s="424">
        <v>5.8</v>
      </c>
      <c r="M132" s="121" t="s">
        <v>229</v>
      </c>
    </row>
    <row r="133" spans="1:13">
      <c r="A133" s="120" t="s">
        <v>292</v>
      </c>
      <c r="B133" s="121" t="s">
        <v>293</v>
      </c>
      <c r="C133" s="87" t="s">
        <v>936</v>
      </c>
      <c r="D133" s="123">
        <v>12502570</v>
      </c>
      <c r="E133" s="115" t="s">
        <v>895</v>
      </c>
      <c r="F133" s="124" t="s">
        <v>937</v>
      </c>
      <c r="G133" s="127" t="s">
        <v>915</v>
      </c>
      <c r="H133" s="121" t="s">
        <v>237</v>
      </c>
      <c r="I133" s="133" t="s">
        <v>285</v>
      </c>
      <c r="J133" s="123" t="s">
        <v>284</v>
      </c>
      <c r="K133" s="128" t="s">
        <v>228</v>
      </c>
      <c r="L133" s="424">
        <v>5.8</v>
      </c>
      <c r="M133" s="121" t="s">
        <v>229</v>
      </c>
    </row>
    <row r="134" spans="1:13">
      <c r="A134" s="96" t="s">
        <v>816</v>
      </c>
      <c r="B134" s="97" t="s">
        <v>263</v>
      </c>
      <c r="C134" s="97">
        <v>6054170</v>
      </c>
      <c r="D134" s="109">
        <v>6054170</v>
      </c>
      <c r="E134" s="115" t="s">
        <v>895</v>
      </c>
      <c r="F134" s="119" t="s">
        <v>264</v>
      </c>
      <c r="G134" s="111" t="s">
        <v>265</v>
      </c>
      <c r="H134" s="109" t="s">
        <v>227</v>
      </c>
      <c r="I134" s="112" t="s">
        <v>266</v>
      </c>
      <c r="J134" s="109" t="s">
        <v>226</v>
      </c>
      <c r="K134" s="107" t="s">
        <v>228</v>
      </c>
      <c r="L134" s="424">
        <v>7.6</v>
      </c>
      <c r="M134" s="103" t="s">
        <v>229</v>
      </c>
    </row>
    <row r="135" spans="1:13">
      <c r="A135" s="120" t="s">
        <v>938</v>
      </c>
      <c r="B135" s="121" t="s">
        <v>323</v>
      </c>
      <c r="C135" s="123">
        <v>4040</v>
      </c>
      <c r="D135" s="123">
        <v>12502670</v>
      </c>
      <c r="E135" s="115" t="s">
        <v>895</v>
      </c>
      <c r="F135" s="124" t="s">
        <v>817</v>
      </c>
      <c r="G135" s="125" t="s">
        <v>939</v>
      </c>
      <c r="H135" s="123" t="s">
        <v>237</v>
      </c>
      <c r="I135" s="126" t="s">
        <v>283</v>
      </c>
      <c r="J135" s="123" t="s">
        <v>284</v>
      </c>
      <c r="K135" s="128" t="s">
        <v>228</v>
      </c>
      <c r="L135" s="424">
        <v>11.7</v>
      </c>
      <c r="M135" s="121" t="s">
        <v>229</v>
      </c>
    </row>
    <row r="136" spans="1:13">
      <c r="A136" s="120" t="s">
        <v>938</v>
      </c>
      <c r="B136" s="121" t="s">
        <v>323</v>
      </c>
      <c r="C136" s="123">
        <v>4041</v>
      </c>
      <c r="D136" s="123">
        <v>12502670</v>
      </c>
      <c r="E136" s="115" t="s">
        <v>895</v>
      </c>
      <c r="F136" s="124" t="s">
        <v>818</v>
      </c>
      <c r="G136" s="125" t="s">
        <v>939</v>
      </c>
      <c r="H136" s="123" t="s">
        <v>237</v>
      </c>
      <c r="I136" s="126" t="s">
        <v>283</v>
      </c>
      <c r="J136" s="123" t="s">
        <v>284</v>
      </c>
      <c r="K136" s="128" t="s">
        <v>228</v>
      </c>
      <c r="L136" s="424">
        <v>11.7</v>
      </c>
      <c r="M136" s="121" t="s">
        <v>229</v>
      </c>
    </row>
    <row r="137" spans="1:13">
      <c r="A137" s="120" t="s">
        <v>938</v>
      </c>
      <c r="B137" s="121" t="s">
        <v>323</v>
      </c>
      <c r="C137" s="122">
        <v>4049</v>
      </c>
      <c r="D137" s="123">
        <v>12502670</v>
      </c>
      <c r="E137" s="115" t="s">
        <v>895</v>
      </c>
      <c r="F137" s="124" t="s">
        <v>819</v>
      </c>
      <c r="G137" s="125" t="s">
        <v>939</v>
      </c>
      <c r="H137" s="123" t="s">
        <v>237</v>
      </c>
      <c r="I137" s="126" t="s">
        <v>283</v>
      </c>
      <c r="J137" s="123" t="s">
        <v>284</v>
      </c>
      <c r="K137" s="128" t="s">
        <v>228</v>
      </c>
      <c r="L137" s="424">
        <v>11.7</v>
      </c>
      <c r="M137" s="121" t="s">
        <v>229</v>
      </c>
    </row>
    <row r="138" spans="1:13">
      <c r="A138" s="120" t="s">
        <v>938</v>
      </c>
      <c r="B138" s="121" t="s">
        <v>323</v>
      </c>
      <c r="C138" s="122">
        <v>4054</v>
      </c>
      <c r="D138" s="123">
        <v>12502670</v>
      </c>
      <c r="E138" s="115" t="s">
        <v>895</v>
      </c>
      <c r="F138" s="124" t="s">
        <v>820</v>
      </c>
      <c r="G138" s="125" t="s">
        <v>939</v>
      </c>
      <c r="H138" s="123" t="s">
        <v>237</v>
      </c>
      <c r="I138" s="126" t="s">
        <v>283</v>
      </c>
      <c r="J138" s="123" t="s">
        <v>284</v>
      </c>
      <c r="K138" s="128" t="s">
        <v>228</v>
      </c>
      <c r="L138" s="424">
        <v>11.7</v>
      </c>
      <c r="M138" s="121" t="s">
        <v>229</v>
      </c>
    </row>
    <row r="139" spans="1:13">
      <c r="A139" s="450" t="s">
        <v>938</v>
      </c>
      <c r="B139" s="440" t="s">
        <v>323</v>
      </c>
      <c r="C139" s="122">
        <v>4055</v>
      </c>
      <c r="D139" s="122">
        <v>12502670</v>
      </c>
      <c r="E139" s="437" t="s">
        <v>895</v>
      </c>
      <c r="F139" s="124" t="s">
        <v>821</v>
      </c>
      <c r="G139" s="453" t="s">
        <v>939</v>
      </c>
      <c r="H139" s="122" t="s">
        <v>237</v>
      </c>
      <c r="I139" s="451" t="s">
        <v>283</v>
      </c>
      <c r="J139" s="122" t="s">
        <v>284</v>
      </c>
      <c r="K139" s="128" t="s">
        <v>228</v>
      </c>
      <c r="L139" s="445">
        <v>11.7</v>
      </c>
      <c r="M139" s="440" t="s">
        <v>229</v>
      </c>
    </row>
    <row r="140" spans="1:13">
      <c r="A140" s="120" t="s">
        <v>938</v>
      </c>
      <c r="B140" s="121" t="s">
        <v>323</v>
      </c>
      <c r="C140" s="122">
        <v>4060</v>
      </c>
      <c r="D140" s="123">
        <v>12502670</v>
      </c>
      <c r="E140" s="115" t="s">
        <v>895</v>
      </c>
      <c r="F140" s="124" t="s">
        <v>822</v>
      </c>
      <c r="G140" s="125" t="s">
        <v>939</v>
      </c>
      <c r="H140" s="123" t="s">
        <v>237</v>
      </c>
      <c r="I140" s="126" t="s">
        <v>283</v>
      </c>
      <c r="J140" s="123" t="s">
        <v>284</v>
      </c>
      <c r="K140" s="128" t="s">
        <v>228</v>
      </c>
      <c r="L140" s="424">
        <v>11.7</v>
      </c>
      <c r="M140" s="121" t="s">
        <v>229</v>
      </c>
    </row>
    <row r="141" spans="1:13">
      <c r="A141" s="120" t="s">
        <v>938</v>
      </c>
      <c r="B141" s="121" t="s">
        <v>323</v>
      </c>
      <c r="C141" s="122">
        <v>4090</v>
      </c>
      <c r="D141" s="123">
        <v>12502670</v>
      </c>
      <c r="E141" s="115" t="s">
        <v>895</v>
      </c>
      <c r="F141" s="124" t="s">
        <v>823</v>
      </c>
      <c r="G141" s="125" t="s">
        <v>939</v>
      </c>
      <c r="H141" s="123" t="s">
        <v>237</v>
      </c>
      <c r="I141" s="126" t="s">
        <v>283</v>
      </c>
      <c r="J141" s="123" t="s">
        <v>284</v>
      </c>
      <c r="K141" s="128" t="s">
        <v>228</v>
      </c>
      <c r="L141" s="424">
        <v>11.7</v>
      </c>
      <c r="M141" s="121" t="s">
        <v>229</v>
      </c>
    </row>
    <row r="142" spans="1:13">
      <c r="A142" s="120" t="s">
        <v>938</v>
      </c>
      <c r="B142" s="121" t="s">
        <v>323</v>
      </c>
      <c r="C142" s="122">
        <v>4093</v>
      </c>
      <c r="D142" s="123">
        <v>12502670</v>
      </c>
      <c r="E142" s="115" t="s">
        <v>895</v>
      </c>
      <c r="F142" s="124" t="s">
        <v>824</v>
      </c>
      <c r="G142" s="125" t="s">
        <v>939</v>
      </c>
      <c r="H142" s="123" t="s">
        <v>237</v>
      </c>
      <c r="I142" s="126" t="s">
        <v>283</v>
      </c>
      <c r="J142" s="123" t="s">
        <v>284</v>
      </c>
      <c r="K142" s="128" t="s">
        <v>228</v>
      </c>
      <c r="L142" s="424">
        <v>11.7</v>
      </c>
      <c r="M142" s="121" t="s">
        <v>229</v>
      </c>
    </row>
    <row r="143" spans="1:13">
      <c r="A143" s="120" t="s">
        <v>938</v>
      </c>
      <c r="B143" s="121" t="s">
        <v>323</v>
      </c>
      <c r="C143" s="122">
        <v>4094</v>
      </c>
      <c r="D143" s="123">
        <v>12502670</v>
      </c>
      <c r="E143" s="115" t="s">
        <v>895</v>
      </c>
      <c r="F143" s="124" t="s">
        <v>825</v>
      </c>
      <c r="G143" s="125" t="s">
        <v>939</v>
      </c>
      <c r="H143" s="123" t="s">
        <v>237</v>
      </c>
      <c r="I143" s="126" t="s">
        <v>283</v>
      </c>
      <c r="J143" s="123" t="s">
        <v>284</v>
      </c>
      <c r="K143" s="128" t="s">
        <v>228</v>
      </c>
      <c r="L143" s="424">
        <v>11.7</v>
      </c>
      <c r="M143" s="121" t="s">
        <v>229</v>
      </c>
    </row>
    <row r="144" spans="1:13">
      <c r="A144" s="120" t="s">
        <v>938</v>
      </c>
      <c r="B144" s="121" t="s">
        <v>323</v>
      </c>
      <c r="C144" s="122">
        <v>4321</v>
      </c>
      <c r="D144" s="123">
        <v>12502670</v>
      </c>
      <c r="E144" s="115" t="s">
        <v>895</v>
      </c>
      <c r="F144" s="134" t="s">
        <v>826</v>
      </c>
      <c r="G144" s="125" t="s">
        <v>939</v>
      </c>
      <c r="H144" s="123" t="s">
        <v>237</v>
      </c>
      <c r="I144" s="126" t="s">
        <v>283</v>
      </c>
      <c r="J144" s="123" t="s">
        <v>284</v>
      </c>
      <c r="K144" s="128" t="s">
        <v>228</v>
      </c>
      <c r="L144" s="424">
        <v>11.7</v>
      </c>
      <c r="M144" s="121" t="s">
        <v>229</v>
      </c>
    </row>
    <row r="145" spans="1:13">
      <c r="A145" s="120" t="s">
        <v>938</v>
      </c>
      <c r="B145" s="121" t="s">
        <v>323</v>
      </c>
      <c r="C145" s="122">
        <v>4322</v>
      </c>
      <c r="D145" s="123">
        <v>12502670</v>
      </c>
      <c r="E145" s="115" t="s">
        <v>895</v>
      </c>
      <c r="F145" s="134" t="s">
        <v>827</v>
      </c>
      <c r="G145" s="125" t="s">
        <v>939</v>
      </c>
      <c r="H145" s="123" t="s">
        <v>237</v>
      </c>
      <c r="I145" s="126" t="s">
        <v>283</v>
      </c>
      <c r="J145" s="123" t="s">
        <v>284</v>
      </c>
      <c r="K145" s="128" t="s">
        <v>228</v>
      </c>
      <c r="L145" s="424">
        <v>11.7</v>
      </c>
      <c r="M145" s="121" t="s">
        <v>229</v>
      </c>
    </row>
    <row r="146" spans="1:13">
      <c r="A146" s="120" t="s">
        <v>938</v>
      </c>
      <c r="B146" s="121" t="s">
        <v>323</v>
      </c>
      <c r="C146" s="122">
        <v>4324</v>
      </c>
      <c r="D146" s="123">
        <v>12502670</v>
      </c>
      <c r="E146" s="115" t="s">
        <v>895</v>
      </c>
      <c r="F146" s="134" t="s">
        <v>940</v>
      </c>
      <c r="G146" s="125" t="s">
        <v>939</v>
      </c>
      <c r="H146" s="123" t="s">
        <v>237</v>
      </c>
      <c r="I146" s="126" t="s">
        <v>283</v>
      </c>
      <c r="J146" s="123" t="s">
        <v>284</v>
      </c>
      <c r="K146" s="128" t="s">
        <v>228</v>
      </c>
      <c r="L146" s="424">
        <v>11.7</v>
      </c>
      <c r="M146" s="121" t="s">
        <v>229</v>
      </c>
    </row>
    <row r="147" spans="1:13">
      <c r="A147" s="120" t="s">
        <v>938</v>
      </c>
      <c r="B147" s="121" t="s">
        <v>323</v>
      </c>
      <c r="C147" s="122">
        <v>4323</v>
      </c>
      <c r="D147" s="123">
        <v>12502670</v>
      </c>
      <c r="E147" s="115" t="s">
        <v>895</v>
      </c>
      <c r="F147" s="134" t="s">
        <v>828</v>
      </c>
      <c r="G147" s="125" t="s">
        <v>939</v>
      </c>
      <c r="H147" s="123" t="s">
        <v>237</v>
      </c>
      <c r="I147" s="126" t="s">
        <v>283</v>
      </c>
      <c r="J147" s="123" t="s">
        <v>284</v>
      </c>
      <c r="K147" s="128" t="s">
        <v>228</v>
      </c>
      <c r="L147" s="424">
        <v>11.7</v>
      </c>
      <c r="M147" s="121" t="s">
        <v>229</v>
      </c>
    </row>
    <row r="148" spans="1:13">
      <c r="A148" s="120" t="s">
        <v>938</v>
      </c>
      <c r="B148" s="121" t="s">
        <v>323</v>
      </c>
      <c r="C148" s="122">
        <v>4331</v>
      </c>
      <c r="D148" s="123">
        <v>12502670</v>
      </c>
      <c r="E148" s="115" t="s">
        <v>895</v>
      </c>
      <c r="F148" s="134" t="s">
        <v>829</v>
      </c>
      <c r="G148" s="125" t="s">
        <v>939</v>
      </c>
      <c r="H148" s="123" t="s">
        <v>237</v>
      </c>
      <c r="I148" s="126" t="s">
        <v>283</v>
      </c>
      <c r="J148" s="123" t="s">
        <v>284</v>
      </c>
      <c r="K148" s="128" t="s">
        <v>228</v>
      </c>
      <c r="L148" s="424">
        <v>11.7</v>
      </c>
      <c r="M148" s="121" t="s">
        <v>229</v>
      </c>
    </row>
    <row r="149" spans="1:13">
      <c r="A149" s="120" t="s">
        <v>938</v>
      </c>
      <c r="B149" s="121" t="s">
        <v>323</v>
      </c>
      <c r="C149" s="122">
        <v>4335</v>
      </c>
      <c r="D149" s="123">
        <v>12502670</v>
      </c>
      <c r="E149" s="115" t="s">
        <v>895</v>
      </c>
      <c r="F149" s="134" t="s">
        <v>830</v>
      </c>
      <c r="G149" s="125" t="s">
        <v>939</v>
      </c>
      <c r="H149" s="123" t="s">
        <v>237</v>
      </c>
      <c r="I149" s="126" t="s">
        <v>283</v>
      </c>
      <c r="J149" s="123" t="s">
        <v>284</v>
      </c>
      <c r="K149" s="128" t="s">
        <v>228</v>
      </c>
      <c r="L149" s="424">
        <v>11.7</v>
      </c>
      <c r="M149" s="121" t="s">
        <v>229</v>
      </c>
    </row>
    <row r="150" spans="1:13">
      <c r="A150" s="120" t="s">
        <v>938</v>
      </c>
      <c r="B150" s="121" t="s">
        <v>323</v>
      </c>
      <c r="C150" s="122" t="s">
        <v>324</v>
      </c>
      <c r="D150" s="123">
        <v>12502670</v>
      </c>
      <c r="E150" s="123" t="s">
        <v>800</v>
      </c>
      <c r="F150" s="134" t="s">
        <v>817</v>
      </c>
      <c r="G150" s="125" t="s">
        <v>939</v>
      </c>
      <c r="H150" s="123" t="s">
        <v>237</v>
      </c>
      <c r="I150" s="126" t="s">
        <v>283</v>
      </c>
      <c r="J150" s="123" t="s">
        <v>284</v>
      </c>
      <c r="K150" s="128" t="s">
        <v>228</v>
      </c>
      <c r="L150" s="424">
        <v>11.7</v>
      </c>
      <c r="M150" s="121" t="s">
        <v>229</v>
      </c>
    </row>
    <row r="151" spans="1:13">
      <c r="A151" s="120" t="s">
        <v>938</v>
      </c>
      <c r="B151" s="121" t="s">
        <v>323</v>
      </c>
      <c r="C151" s="122" t="s">
        <v>325</v>
      </c>
      <c r="D151" s="123">
        <v>12502670</v>
      </c>
      <c r="E151" s="123" t="s">
        <v>800</v>
      </c>
      <c r="F151" s="134" t="s">
        <v>818</v>
      </c>
      <c r="G151" s="125" t="s">
        <v>939</v>
      </c>
      <c r="H151" s="123" t="s">
        <v>237</v>
      </c>
      <c r="I151" s="126" t="s">
        <v>283</v>
      </c>
      <c r="J151" s="123" t="s">
        <v>284</v>
      </c>
      <c r="K151" s="128" t="s">
        <v>228</v>
      </c>
      <c r="L151" s="424">
        <v>11.7</v>
      </c>
      <c r="M151" s="121" t="s">
        <v>229</v>
      </c>
    </row>
    <row r="152" spans="1:13">
      <c r="A152" s="120" t="s">
        <v>938</v>
      </c>
      <c r="B152" s="121" t="s">
        <v>323</v>
      </c>
      <c r="C152" s="123" t="s">
        <v>326</v>
      </c>
      <c r="D152" s="123">
        <v>12502670</v>
      </c>
      <c r="E152" s="123" t="s">
        <v>800</v>
      </c>
      <c r="F152" s="134" t="s">
        <v>827</v>
      </c>
      <c r="G152" s="125" t="s">
        <v>939</v>
      </c>
      <c r="H152" s="123" t="s">
        <v>237</v>
      </c>
      <c r="I152" s="126" t="s">
        <v>283</v>
      </c>
      <c r="J152" s="123" t="s">
        <v>284</v>
      </c>
      <c r="K152" s="128" t="s">
        <v>228</v>
      </c>
      <c r="L152" s="424">
        <v>11.7</v>
      </c>
      <c r="M152" s="121" t="s">
        <v>229</v>
      </c>
    </row>
    <row r="153" spans="1:13">
      <c r="A153" s="120" t="s">
        <v>938</v>
      </c>
      <c r="B153" s="121" t="s">
        <v>323</v>
      </c>
      <c r="C153" s="123" t="s">
        <v>327</v>
      </c>
      <c r="D153" s="123">
        <v>12502670</v>
      </c>
      <c r="E153" s="123" t="s">
        <v>800</v>
      </c>
      <c r="F153" s="134" t="s">
        <v>829</v>
      </c>
      <c r="G153" s="125" t="s">
        <v>939</v>
      </c>
      <c r="H153" s="123" t="s">
        <v>237</v>
      </c>
      <c r="I153" s="126" t="s">
        <v>283</v>
      </c>
      <c r="J153" s="123" t="s">
        <v>284</v>
      </c>
      <c r="K153" s="128" t="s">
        <v>228</v>
      </c>
      <c r="L153" s="424">
        <v>11.7</v>
      </c>
      <c r="M153" s="121" t="s">
        <v>229</v>
      </c>
    </row>
    <row r="154" spans="1:13">
      <c r="A154" s="120" t="s">
        <v>938</v>
      </c>
      <c r="B154" s="121" t="s">
        <v>323</v>
      </c>
      <c r="C154" s="123" t="s">
        <v>328</v>
      </c>
      <c r="D154" s="123">
        <v>12502670</v>
      </c>
      <c r="E154" s="123" t="s">
        <v>800</v>
      </c>
      <c r="F154" s="134" t="s">
        <v>825</v>
      </c>
      <c r="G154" s="125" t="s">
        <v>939</v>
      </c>
      <c r="H154" s="123" t="s">
        <v>237</v>
      </c>
      <c r="I154" s="126" t="s">
        <v>283</v>
      </c>
      <c r="J154" s="123" t="s">
        <v>284</v>
      </c>
      <c r="K154" s="128" t="s">
        <v>228</v>
      </c>
      <c r="L154" s="424">
        <v>11.7</v>
      </c>
      <c r="M154" s="121" t="s">
        <v>229</v>
      </c>
    </row>
    <row r="155" spans="1:13">
      <c r="A155" s="120" t="s">
        <v>938</v>
      </c>
      <c r="B155" s="121" t="s">
        <v>323</v>
      </c>
      <c r="C155" s="123">
        <v>4325</v>
      </c>
      <c r="D155" s="123">
        <v>12502670</v>
      </c>
      <c r="E155" s="115" t="s">
        <v>895</v>
      </c>
      <c r="F155" s="134" t="s">
        <v>941</v>
      </c>
      <c r="G155" s="125" t="s">
        <v>939</v>
      </c>
      <c r="H155" s="123" t="s">
        <v>237</v>
      </c>
      <c r="I155" s="126" t="s">
        <v>283</v>
      </c>
      <c r="J155" s="123" t="s">
        <v>284</v>
      </c>
      <c r="K155" s="128" t="s">
        <v>228</v>
      </c>
      <c r="L155" s="424">
        <v>11.7</v>
      </c>
      <c r="M155" s="121" t="s">
        <v>229</v>
      </c>
    </row>
    <row r="156" spans="1:13">
      <c r="A156" s="120" t="s">
        <v>942</v>
      </c>
      <c r="B156" s="121" t="s">
        <v>943</v>
      </c>
      <c r="C156" s="123">
        <v>2001</v>
      </c>
      <c r="D156" s="123">
        <v>12037171</v>
      </c>
      <c r="E156" s="115" t="s">
        <v>895</v>
      </c>
      <c r="F156" s="134" t="s">
        <v>331</v>
      </c>
      <c r="G156" s="131" t="s">
        <v>332</v>
      </c>
      <c r="H156" s="123" t="s">
        <v>237</v>
      </c>
      <c r="I156" s="126" t="s">
        <v>283</v>
      </c>
      <c r="J156" s="123" t="s">
        <v>284</v>
      </c>
      <c r="K156" s="128" t="s">
        <v>228</v>
      </c>
      <c r="L156" s="424">
        <v>10.85</v>
      </c>
      <c r="M156" s="121" t="s">
        <v>229</v>
      </c>
    </row>
    <row r="157" spans="1:13">
      <c r="A157" s="120" t="s">
        <v>942</v>
      </c>
      <c r="B157" s="121" t="s">
        <v>943</v>
      </c>
      <c r="C157" s="123">
        <v>2002</v>
      </c>
      <c r="D157" s="123">
        <v>12037171</v>
      </c>
      <c r="E157" s="115" t="s">
        <v>895</v>
      </c>
      <c r="F157" s="134" t="s">
        <v>333</v>
      </c>
      <c r="G157" s="131" t="s">
        <v>332</v>
      </c>
      <c r="H157" s="123" t="s">
        <v>237</v>
      </c>
      <c r="I157" s="126" t="s">
        <v>283</v>
      </c>
      <c r="J157" s="123" t="s">
        <v>284</v>
      </c>
      <c r="K157" s="128" t="s">
        <v>228</v>
      </c>
      <c r="L157" s="424">
        <v>10.85</v>
      </c>
      <c r="M157" s="121" t="s">
        <v>229</v>
      </c>
    </row>
    <row r="158" spans="1:13">
      <c r="A158" s="120" t="s">
        <v>942</v>
      </c>
      <c r="B158" s="121" t="s">
        <v>943</v>
      </c>
      <c r="C158" s="123">
        <v>2003</v>
      </c>
      <c r="D158" s="123">
        <v>12037171</v>
      </c>
      <c r="E158" s="115" t="s">
        <v>895</v>
      </c>
      <c r="F158" s="134" t="s">
        <v>944</v>
      </c>
      <c r="G158" s="131" t="s">
        <v>332</v>
      </c>
      <c r="H158" s="123" t="s">
        <v>237</v>
      </c>
      <c r="I158" s="126" t="s">
        <v>283</v>
      </c>
      <c r="J158" s="123" t="s">
        <v>284</v>
      </c>
      <c r="K158" s="128" t="s">
        <v>228</v>
      </c>
      <c r="L158" s="424">
        <v>10.85</v>
      </c>
      <c r="M158" s="121" t="s">
        <v>229</v>
      </c>
    </row>
    <row r="159" spans="1:13">
      <c r="A159" s="120" t="s">
        <v>942</v>
      </c>
      <c r="B159" s="121" t="s">
        <v>943</v>
      </c>
      <c r="C159" s="123">
        <v>2005</v>
      </c>
      <c r="D159" s="123">
        <v>12037171</v>
      </c>
      <c r="E159" s="115" t="s">
        <v>895</v>
      </c>
      <c r="F159" s="134" t="s">
        <v>334</v>
      </c>
      <c r="G159" s="131" t="s">
        <v>332</v>
      </c>
      <c r="H159" s="123" t="s">
        <v>237</v>
      </c>
      <c r="I159" s="126" t="s">
        <v>283</v>
      </c>
      <c r="J159" s="123" t="s">
        <v>284</v>
      </c>
      <c r="K159" s="128" t="s">
        <v>228</v>
      </c>
      <c r="L159" s="424">
        <v>10.85</v>
      </c>
      <c r="M159" s="121" t="s">
        <v>229</v>
      </c>
    </row>
    <row r="160" spans="1:13">
      <c r="A160" s="120" t="s">
        <v>942</v>
      </c>
      <c r="B160" s="121" t="s">
        <v>943</v>
      </c>
      <c r="C160" s="123">
        <v>2006</v>
      </c>
      <c r="D160" s="123">
        <v>12037171</v>
      </c>
      <c r="E160" s="115" t="s">
        <v>895</v>
      </c>
      <c r="F160" s="134" t="s">
        <v>335</v>
      </c>
      <c r="G160" s="131" t="s">
        <v>332</v>
      </c>
      <c r="H160" s="123" t="s">
        <v>237</v>
      </c>
      <c r="I160" s="126" t="s">
        <v>283</v>
      </c>
      <c r="J160" s="123" t="s">
        <v>284</v>
      </c>
      <c r="K160" s="128" t="s">
        <v>228</v>
      </c>
      <c r="L160" s="424">
        <v>10.85</v>
      </c>
      <c r="M160" s="121" t="s">
        <v>229</v>
      </c>
    </row>
    <row r="161" spans="1:13">
      <c r="A161" s="120" t="s">
        <v>942</v>
      </c>
      <c r="B161" s="121" t="s">
        <v>943</v>
      </c>
      <c r="C161" s="123">
        <v>2040</v>
      </c>
      <c r="D161" s="123">
        <v>12037171</v>
      </c>
      <c r="E161" s="115" t="s">
        <v>895</v>
      </c>
      <c r="F161" s="134" t="s">
        <v>336</v>
      </c>
      <c r="G161" s="131" t="s">
        <v>332</v>
      </c>
      <c r="H161" s="123" t="s">
        <v>237</v>
      </c>
      <c r="I161" s="126" t="s">
        <v>283</v>
      </c>
      <c r="J161" s="123" t="s">
        <v>284</v>
      </c>
      <c r="K161" s="128" t="s">
        <v>228</v>
      </c>
      <c r="L161" s="424">
        <v>10.85</v>
      </c>
      <c r="M161" s="121" t="s">
        <v>229</v>
      </c>
    </row>
    <row r="162" spans="1:13">
      <c r="A162" s="120" t="s">
        <v>942</v>
      </c>
      <c r="B162" s="121" t="s">
        <v>943</v>
      </c>
      <c r="C162" s="123">
        <v>2044</v>
      </c>
      <c r="D162" s="123">
        <v>12037171</v>
      </c>
      <c r="E162" s="115" t="s">
        <v>895</v>
      </c>
      <c r="F162" s="124" t="s">
        <v>337</v>
      </c>
      <c r="G162" s="131" t="s">
        <v>332</v>
      </c>
      <c r="H162" s="123" t="s">
        <v>237</v>
      </c>
      <c r="I162" s="126" t="s">
        <v>283</v>
      </c>
      <c r="J162" s="123" t="s">
        <v>284</v>
      </c>
      <c r="K162" s="128" t="s">
        <v>228</v>
      </c>
      <c r="L162" s="424">
        <v>10.85</v>
      </c>
      <c r="M162" s="121" t="s">
        <v>229</v>
      </c>
    </row>
    <row r="163" spans="1:13">
      <c r="A163" s="120" t="s">
        <v>942</v>
      </c>
      <c r="B163" s="121" t="s">
        <v>943</v>
      </c>
      <c r="C163" s="123">
        <v>2063</v>
      </c>
      <c r="D163" s="123">
        <v>12037171</v>
      </c>
      <c r="E163" s="115" t="s">
        <v>895</v>
      </c>
      <c r="F163" s="124" t="s">
        <v>338</v>
      </c>
      <c r="G163" s="131" t="s">
        <v>332</v>
      </c>
      <c r="H163" s="123" t="s">
        <v>237</v>
      </c>
      <c r="I163" s="126" t="s">
        <v>283</v>
      </c>
      <c r="J163" s="123" t="s">
        <v>284</v>
      </c>
      <c r="K163" s="128" t="s">
        <v>228</v>
      </c>
      <c r="L163" s="424">
        <v>10.85</v>
      </c>
      <c r="M163" s="121" t="s">
        <v>229</v>
      </c>
    </row>
    <row r="164" spans="1:13">
      <c r="A164" s="120" t="s">
        <v>942</v>
      </c>
      <c r="B164" s="121" t="s">
        <v>943</v>
      </c>
      <c r="C164" s="123">
        <v>2301</v>
      </c>
      <c r="D164" s="123">
        <v>12037171</v>
      </c>
      <c r="E164" s="115" t="s">
        <v>895</v>
      </c>
      <c r="F164" s="124" t="s">
        <v>945</v>
      </c>
      <c r="G164" s="131" t="s">
        <v>332</v>
      </c>
      <c r="H164" s="123" t="s">
        <v>237</v>
      </c>
      <c r="I164" s="126" t="s">
        <v>283</v>
      </c>
      <c r="J164" s="123" t="s">
        <v>284</v>
      </c>
      <c r="K164" s="128" t="s">
        <v>228</v>
      </c>
      <c r="L164" s="424">
        <v>10.85</v>
      </c>
      <c r="M164" s="121" t="s">
        <v>229</v>
      </c>
    </row>
    <row r="165" spans="1:13">
      <c r="A165" s="120" t="s">
        <v>942</v>
      </c>
      <c r="B165" s="121" t="s">
        <v>943</v>
      </c>
      <c r="C165" s="136">
        <v>2304</v>
      </c>
      <c r="D165" s="123">
        <v>12037171</v>
      </c>
      <c r="E165" s="115" t="s">
        <v>895</v>
      </c>
      <c r="F165" s="124" t="s">
        <v>339</v>
      </c>
      <c r="G165" s="131" t="s">
        <v>332</v>
      </c>
      <c r="H165" s="123" t="s">
        <v>237</v>
      </c>
      <c r="I165" s="126" t="s">
        <v>283</v>
      </c>
      <c r="J165" s="123" t="s">
        <v>284</v>
      </c>
      <c r="K165" s="128" t="s">
        <v>228</v>
      </c>
      <c r="L165" s="424">
        <v>10.85</v>
      </c>
      <c r="M165" s="121" t="s">
        <v>229</v>
      </c>
    </row>
    <row r="166" spans="1:13">
      <c r="A166" s="120" t="s">
        <v>942</v>
      </c>
      <c r="B166" s="121" t="s">
        <v>943</v>
      </c>
      <c r="C166" s="136">
        <v>2322</v>
      </c>
      <c r="D166" s="123">
        <v>12037171</v>
      </c>
      <c r="E166" s="115" t="s">
        <v>895</v>
      </c>
      <c r="F166" s="124" t="s">
        <v>340</v>
      </c>
      <c r="G166" s="131" t="s">
        <v>332</v>
      </c>
      <c r="H166" s="123" t="s">
        <v>237</v>
      </c>
      <c r="I166" s="126" t="s">
        <v>283</v>
      </c>
      <c r="J166" s="123" t="s">
        <v>284</v>
      </c>
      <c r="K166" s="128" t="s">
        <v>228</v>
      </c>
      <c r="L166" s="424">
        <v>10.85</v>
      </c>
      <c r="M166" s="121" t="s">
        <v>229</v>
      </c>
    </row>
    <row r="167" spans="1:13">
      <c r="A167" s="120" t="s">
        <v>942</v>
      </c>
      <c r="B167" s="121" t="s">
        <v>943</v>
      </c>
      <c r="C167" s="136">
        <v>2041</v>
      </c>
      <c r="D167" s="123">
        <v>12037171</v>
      </c>
      <c r="E167" s="115" t="s">
        <v>895</v>
      </c>
      <c r="F167" s="124" t="s">
        <v>946</v>
      </c>
      <c r="G167" s="131" t="s">
        <v>332</v>
      </c>
      <c r="H167" s="123" t="s">
        <v>237</v>
      </c>
      <c r="I167" s="126" t="s">
        <v>283</v>
      </c>
      <c r="J167" s="123" t="s">
        <v>284</v>
      </c>
      <c r="K167" s="128" t="s">
        <v>228</v>
      </c>
      <c r="L167" s="424">
        <v>10.85</v>
      </c>
      <c r="M167" s="121" t="s">
        <v>229</v>
      </c>
    </row>
    <row r="168" spans="1:13">
      <c r="A168" s="120" t="s">
        <v>942</v>
      </c>
      <c r="B168" s="121" t="s">
        <v>943</v>
      </c>
      <c r="C168" s="136">
        <v>2373</v>
      </c>
      <c r="D168" s="123">
        <v>12037171</v>
      </c>
      <c r="E168" s="115" t="s">
        <v>895</v>
      </c>
      <c r="F168" s="124" t="s">
        <v>341</v>
      </c>
      <c r="G168" s="131" t="s">
        <v>332</v>
      </c>
      <c r="H168" s="123" t="s">
        <v>237</v>
      </c>
      <c r="I168" s="126" t="s">
        <v>283</v>
      </c>
      <c r="J168" s="123" t="s">
        <v>284</v>
      </c>
      <c r="K168" s="128" t="s">
        <v>228</v>
      </c>
      <c r="L168" s="424">
        <v>10.85</v>
      </c>
      <c r="M168" s="121" t="s">
        <v>229</v>
      </c>
    </row>
    <row r="169" spans="1:13">
      <c r="A169" s="120" t="s">
        <v>942</v>
      </c>
      <c r="B169" s="121" t="s">
        <v>943</v>
      </c>
      <c r="C169" s="136">
        <v>2374</v>
      </c>
      <c r="D169" s="123">
        <v>12037171</v>
      </c>
      <c r="E169" s="115" t="s">
        <v>895</v>
      </c>
      <c r="F169" s="124" t="s">
        <v>947</v>
      </c>
      <c r="G169" s="131" t="s">
        <v>332</v>
      </c>
      <c r="H169" s="123" t="s">
        <v>237</v>
      </c>
      <c r="I169" s="126" t="s">
        <v>283</v>
      </c>
      <c r="J169" s="123" t="s">
        <v>284</v>
      </c>
      <c r="K169" s="128" t="s">
        <v>228</v>
      </c>
      <c r="L169" s="424">
        <v>10.85</v>
      </c>
      <c r="M169" s="121" t="s">
        <v>229</v>
      </c>
    </row>
    <row r="170" spans="1:13">
      <c r="A170" s="120" t="s">
        <v>948</v>
      </c>
      <c r="B170" s="121" t="s">
        <v>949</v>
      </c>
      <c r="C170" s="136">
        <v>3000</v>
      </c>
      <c r="D170" s="115" t="s">
        <v>831</v>
      </c>
      <c r="E170" s="115" t="s">
        <v>895</v>
      </c>
      <c r="F170" s="105" t="s">
        <v>950</v>
      </c>
      <c r="G170" s="126" t="s">
        <v>420</v>
      </c>
      <c r="H170" s="121" t="s">
        <v>237</v>
      </c>
      <c r="I170" s="126" t="s">
        <v>283</v>
      </c>
      <c r="J170" s="121" t="s">
        <v>284</v>
      </c>
      <c r="K170" s="128" t="s">
        <v>228</v>
      </c>
      <c r="L170" s="424">
        <v>10.199999999999999</v>
      </c>
      <c r="M170" s="121" t="s">
        <v>229</v>
      </c>
    </row>
    <row r="171" spans="1:13">
      <c r="A171" s="120" t="s">
        <v>948</v>
      </c>
      <c r="B171" s="121" t="s">
        <v>949</v>
      </c>
      <c r="C171" s="136">
        <v>3002</v>
      </c>
      <c r="D171" s="115" t="s">
        <v>831</v>
      </c>
      <c r="E171" s="115" t="s">
        <v>895</v>
      </c>
      <c r="F171" s="105" t="s">
        <v>421</v>
      </c>
      <c r="G171" s="126" t="s">
        <v>420</v>
      </c>
      <c r="H171" s="121" t="s">
        <v>237</v>
      </c>
      <c r="I171" s="126" t="s">
        <v>283</v>
      </c>
      <c r="J171" s="121" t="s">
        <v>284</v>
      </c>
      <c r="K171" s="128" t="s">
        <v>228</v>
      </c>
      <c r="L171" s="424">
        <v>10.199999999999999</v>
      </c>
      <c r="M171" s="121" t="s">
        <v>229</v>
      </c>
    </row>
    <row r="172" spans="1:13">
      <c r="A172" s="120" t="s">
        <v>948</v>
      </c>
      <c r="B172" s="121" t="s">
        <v>949</v>
      </c>
      <c r="C172" s="136">
        <v>3003</v>
      </c>
      <c r="D172" s="115" t="s">
        <v>831</v>
      </c>
      <c r="E172" s="115" t="s">
        <v>895</v>
      </c>
      <c r="F172" s="105" t="s">
        <v>951</v>
      </c>
      <c r="G172" s="126" t="s">
        <v>420</v>
      </c>
      <c r="H172" s="121" t="s">
        <v>237</v>
      </c>
      <c r="I172" s="126" t="s">
        <v>283</v>
      </c>
      <c r="J172" s="121" t="s">
        <v>284</v>
      </c>
      <c r="K172" s="128" t="s">
        <v>228</v>
      </c>
      <c r="L172" s="424">
        <v>10.199999999999999</v>
      </c>
      <c r="M172" s="121" t="s">
        <v>229</v>
      </c>
    </row>
    <row r="173" spans="1:13">
      <c r="A173" s="120" t="s">
        <v>948</v>
      </c>
      <c r="B173" s="121" t="s">
        <v>949</v>
      </c>
      <c r="C173" s="136">
        <v>3004</v>
      </c>
      <c r="D173" s="115" t="s">
        <v>831</v>
      </c>
      <c r="E173" s="115" t="s">
        <v>895</v>
      </c>
      <c r="F173" s="105" t="s">
        <v>422</v>
      </c>
      <c r="G173" s="126" t="s">
        <v>420</v>
      </c>
      <c r="H173" s="121" t="s">
        <v>237</v>
      </c>
      <c r="I173" s="126" t="s">
        <v>283</v>
      </c>
      <c r="J173" s="121" t="s">
        <v>284</v>
      </c>
      <c r="K173" s="128" t="s">
        <v>228</v>
      </c>
      <c r="L173" s="424">
        <v>10.199999999999999</v>
      </c>
      <c r="M173" s="121" t="s">
        <v>229</v>
      </c>
    </row>
    <row r="174" spans="1:13">
      <c r="A174" s="120" t="s">
        <v>948</v>
      </c>
      <c r="B174" s="121" t="s">
        <v>949</v>
      </c>
      <c r="C174" s="136">
        <v>3005</v>
      </c>
      <c r="D174" s="115" t="s">
        <v>831</v>
      </c>
      <c r="E174" s="115" t="s">
        <v>895</v>
      </c>
      <c r="F174" s="105" t="s">
        <v>423</v>
      </c>
      <c r="G174" s="126" t="s">
        <v>420</v>
      </c>
      <c r="H174" s="121" t="s">
        <v>237</v>
      </c>
      <c r="I174" s="126" t="s">
        <v>283</v>
      </c>
      <c r="J174" s="121" t="s">
        <v>284</v>
      </c>
      <c r="K174" s="128" t="s">
        <v>228</v>
      </c>
      <c r="L174" s="424">
        <v>10.199999999999999</v>
      </c>
      <c r="M174" s="121" t="s">
        <v>229</v>
      </c>
    </row>
    <row r="175" spans="1:13">
      <c r="A175" s="120" t="s">
        <v>948</v>
      </c>
      <c r="B175" s="121" t="s">
        <v>949</v>
      </c>
      <c r="C175" s="136">
        <v>3006</v>
      </c>
      <c r="D175" s="115" t="s">
        <v>831</v>
      </c>
      <c r="E175" s="115" t="s">
        <v>895</v>
      </c>
      <c r="F175" s="126" t="s">
        <v>952</v>
      </c>
      <c r="G175" s="126" t="s">
        <v>420</v>
      </c>
      <c r="H175" s="121" t="s">
        <v>237</v>
      </c>
      <c r="I175" s="126" t="s">
        <v>283</v>
      </c>
      <c r="J175" s="121" t="s">
        <v>284</v>
      </c>
      <c r="K175" s="128" t="s">
        <v>228</v>
      </c>
      <c r="L175" s="424">
        <v>10.199999999999999</v>
      </c>
      <c r="M175" s="121" t="s">
        <v>229</v>
      </c>
    </row>
    <row r="176" spans="1:13">
      <c r="A176" s="120" t="s">
        <v>948</v>
      </c>
      <c r="B176" s="121" t="s">
        <v>949</v>
      </c>
      <c r="C176" s="136">
        <v>3007</v>
      </c>
      <c r="D176" s="115" t="s">
        <v>831</v>
      </c>
      <c r="E176" s="115" t="s">
        <v>895</v>
      </c>
      <c r="F176" s="105" t="s">
        <v>424</v>
      </c>
      <c r="G176" s="126" t="s">
        <v>420</v>
      </c>
      <c r="H176" s="121" t="s">
        <v>237</v>
      </c>
      <c r="I176" s="126" t="s">
        <v>283</v>
      </c>
      <c r="J176" s="121" t="s">
        <v>284</v>
      </c>
      <c r="K176" s="128" t="s">
        <v>228</v>
      </c>
      <c r="L176" s="424">
        <v>10.199999999999999</v>
      </c>
      <c r="M176" s="121" t="s">
        <v>229</v>
      </c>
    </row>
    <row r="177" spans="1:13">
      <c r="A177" s="120" t="s">
        <v>948</v>
      </c>
      <c r="B177" s="121" t="s">
        <v>949</v>
      </c>
      <c r="C177" s="136">
        <v>3008</v>
      </c>
      <c r="D177" s="115" t="s">
        <v>831</v>
      </c>
      <c r="E177" s="115" t="s">
        <v>895</v>
      </c>
      <c r="F177" s="105" t="s">
        <v>425</v>
      </c>
      <c r="G177" s="126" t="s">
        <v>420</v>
      </c>
      <c r="H177" s="121" t="s">
        <v>237</v>
      </c>
      <c r="I177" s="126" t="s">
        <v>283</v>
      </c>
      <c r="J177" s="121" t="s">
        <v>284</v>
      </c>
      <c r="K177" s="128" t="s">
        <v>228</v>
      </c>
      <c r="L177" s="424">
        <v>10.199999999999999</v>
      </c>
      <c r="M177" s="121" t="s">
        <v>229</v>
      </c>
    </row>
    <row r="178" spans="1:13">
      <c r="A178" s="120" t="s">
        <v>948</v>
      </c>
      <c r="B178" s="121" t="s">
        <v>949</v>
      </c>
      <c r="C178" s="136">
        <v>3012</v>
      </c>
      <c r="D178" s="115" t="s">
        <v>831</v>
      </c>
      <c r="E178" s="115" t="s">
        <v>895</v>
      </c>
      <c r="F178" s="105" t="s">
        <v>953</v>
      </c>
      <c r="G178" s="126" t="s">
        <v>420</v>
      </c>
      <c r="H178" s="121" t="s">
        <v>237</v>
      </c>
      <c r="I178" s="126" t="s">
        <v>283</v>
      </c>
      <c r="J178" s="121" t="s">
        <v>284</v>
      </c>
      <c r="K178" s="128" t="s">
        <v>228</v>
      </c>
      <c r="L178" s="424">
        <v>10.199999999999999</v>
      </c>
      <c r="M178" s="121" t="s">
        <v>229</v>
      </c>
    </row>
    <row r="179" spans="1:13">
      <c r="A179" s="120" t="s">
        <v>948</v>
      </c>
      <c r="B179" s="121" t="s">
        <v>949</v>
      </c>
      <c r="C179" s="136">
        <v>3015</v>
      </c>
      <c r="D179" s="115" t="s">
        <v>831</v>
      </c>
      <c r="E179" s="115" t="s">
        <v>895</v>
      </c>
      <c r="F179" s="454" t="s">
        <v>954</v>
      </c>
      <c r="G179" s="126" t="s">
        <v>420</v>
      </c>
      <c r="H179" s="121" t="s">
        <v>237</v>
      </c>
      <c r="I179" s="126" t="s">
        <v>283</v>
      </c>
      <c r="J179" s="121" t="s">
        <v>284</v>
      </c>
      <c r="K179" s="128" t="s">
        <v>228</v>
      </c>
      <c r="L179" s="424">
        <v>10.199999999999999</v>
      </c>
      <c r="M179" s="121" t="s">
        <v>229</v>
      </c>
    </row>
    <row r="180" spans="1:13">
      <c r="A180" s="120" t="s">
        <v>948</v>
      </c>
      <c r="B180" s="121" t="s">
        <v>949</v>
      </c>
      <c r="C180" s="136">
        <v>3018</v>
      </c>
      <c r="D180" s="115" t="s">
        <v>831</v>
      </c>
      <c r="E180" s="115" t="s">
        <v>895</v>
      </c>
      <c r="F180" s="105" t="s">
        <v>426</v>
      </c>
      <c r="G180" s="126" t="s">
        <v>420</v>
      </c>
      <c r="H180" s="121" t="s">
        <v>237</v>
      </c>
      <c r="I180" s="126" t="s">
        <v>283</v>
      </c>
      <c r="J180" s="121" t="s">
        <v>284</v>
      </c>
      <c r="K180" s="128" t="s">
        <v>228</v>
      </c>
      <c r="L180" s="424">
        <v>10.199999999999999</v>
      </c>
      <c r="M180" s="121" t="s">
        <v>229</v>
      </c>
    </row>
    <row r="181" spans="1:13">
      <c r="A181" s="120" t="s">
        <v>948</v>
      </c>
      <c r="B181" s="121" t="s">
        <v>949</v>
      </c>
      <c r="C181" s="136">
        <v>3020</v>
      </c>
      <c r="D181" s="115" t="s">
        <v>831</v>
      </c>
      <c r="E181" s="115" t="s">
        <v>895</v>
      </c>
      <c r="F181" s="105" t="s">
        <v>427</v>
      </c>
      <c r="G181" s="126" t="s">
        <v>420</v>
      </c>
      <c r="H181" s="121" t="s">
        <v>237</v>
      </c>
      <c r="I181" s="126" t="s">
        <v>283</v>
      </c>
      <c r="J181" s="121" t="s">
        <v>284</v>
      </c>
      <c r="K181" s="128" t="s">
        <v>228</v>
      </c>
      <c r="L181" s="424">
        <v>10.199999999999999</v>
      </c>
      <c r="M181" s="121" t="s">
        <v>229</v>
      </c>
    </row>
    <row r="182" spans="1:13">
      <c r="A182" s="120" t="s">
        <v>948</v>
      </c>
      <c r="B182" s="121" t="s">
        <v>949</v>
      </c>
      <c r="C182" s="136">
        <v>3021</v>
      </c>
      <c r="D182" s="115" t="s">
        <v>831</v>
      </c>
      <c r="E182" s="115" t="s">
        <v>895</v>
      </c>
      <c r="F182" s="105" t="s">
        <v>428</v>
      </c>
      <c r="G182" s="126" t="s">
        <v>420</v>
      </c>
      <c r="H182" s="121" t="s">
        <v>237</v>
      </c>
      <c r="I182" s="126" t="s">
        <v>283</v>
      </c>
      <c r="J182" s="121" t="s">
        <v>284</v>
      </c>
      <c r="K182" s="128" t="s">
        <v>228</v>
      </c>
      <c r="L182" s="424">
        <v>10.199999999999999</v>
      </c>
      <c r="M182" s="121" t="s">
        <v>229</v>
      </c>
    </row>
    <row r="183" spans="1:13">
      <c r="A183" s="120" t="s">
        <v>948</v>
      </c>
      <c r="B183" s="121" t="s">
        <v>949</v>
      </c>
      <c r="C183" s="136">
        <v>3050</v>
      </c>
      <c r="D183" s="115" t="s">
        <v>831</v>
      </c>
      <c r="E183" s="115" t="s">
        <v>895</v>
      </c>
      <c r="F183" s="105" t="s">
        <v>429</v>
      </c>
      <c r="G183" s="126" t="s">
        <v>420</v>
      </c>
      <c r="H183" s="121" t="s">
        <v>237</v>
      </c>
      <c r="I183" s="126" t="s">
        <v>283</v>
      </c>
      <c r="J183" s="121" t="s">
        <v>284</v>
      </c>
      <c r="K183" s="128" t="s">
        <v>228</v>
      </c>
      <c r="L183" s="424">
        <v>10.199999999999999</v>
      </c>
      <c r="M183" s="121" t="s">
        <v>229</v>
      </c>
    </row>
    <row r="184" spans="1:13">
      <c r="A184" s="120" t="s">
        <v>948</v>
      </c>
      <c r="B184" s="121" t="s">
        <v>949</v>
      </c>
      <c r="C184" s="136">
        <v>3051</v>
      </c>
      <c r="D184" s="115" t="s">
        <v>831</v>
      </c>
      <c r="E184" s="115" t="s">
        <v>895</v>
      </c>
      <c r="F184" s="105" t="s">
        <v>430</v>
      </c>
      <c r="G184" s="126" t="s">
        <v>420</v>
      </c>
      <c r="H184" s="121" t="s">
        <v>237</v>
      </c>
      <c r="I184" s="126" t="s">
        <v>283</v>
      </c>
      <c r="J184" s="121" t="s">
        <v>284</v>
      </c>
      <c r="K184" s="128" t="s">
        <v>228</v>
      </c>
      <c r="L184" s="424">
        <v>10.199999999999999</v>
      </c>
      <c r="M184" s="121" t="s">
        <v>229</v>
      </c>
    </row>
    <row r="185" spans="1:13">
      <c r="A185" s="120" t="s">
        <v>948</v>
      </c>
      <c r="B185" s="121" t="s">
        <v>949</v>
      </c>
      <c r="C185" s="136">
        <v>3072</v>
      </c>
      <c r="D185" s="115" t="s">
        <v>831</v>
      </c>
      <c r="E185" s="115" t="s">
        <v>895</v>
      </c>
      <c r="F185" s="105" t="s">
        <v>431</v>
      </c>
      <c r="G185" s="126" t="s">
        <v>420</v>
      </c>
      <c r="H185" s="121" t="s">
        <v>237</v>
      </c>
      <c r="I185" s="126" t="s">
        <v>283</v>
      </c>
      <c r="J185" s="121" t="s">
        <v>284</v>
      </c>
      <c r="K185" s="128" t="s">
        <v>228</v>
      </c>
      <c r="L185" s="424">
        <v>10.199999999999999</v>
      </c>
      <c r="M185" s="121" t="s">
        <v>229</v>
      </c>
    </row>
    <row r="186" spans="1:13">
      <c r="A186" s="120" t="s">
        <v>948</v>
      </c>
      <c r="B186" s="121" t="s">
        <v>949</v>
      </c>
      <c r="C186" s="136">
        <v>3075</v>
      </c>
      <c r="D186" s="115" t="s">
        <v>831</v>
      </c>
      <c r="E186" s="115" t="s">
        <v>895</v>
      </c>
      <c r="F186" s="105" t="s">
        <v>432</v>
      </c>
      <c r="G186" s="126" t="s">
        <v>420</v>
      </c>
      <c r="H186" s="121" t="s">
        <v>237</v>
      </c>
      <c r="I186" s="126" t="s">
        <v>283</v>
      </c>
      <c r="J186" s="121" t="s">
        <v>284</v>
      </c>
      <c r="K186" s="128" t="s">
        <v>228</v>
      </c>
      <c r="L186" s="424">
        <v>10.199999999999999</v>
      </c>
      <c r="M186" s="121" t="s">
        <v>229</v>
      </c>
    </row>
    <row r="187" spans="1:13">
      <c r="A187" s="120" t="s">
        <v>948</v>
      </c>
      <c r="B187" s="121" t="s">
        <v>949</v>
      </c>
      <c r="C187" s="136">
        <v>3079</v>
      </c>
      <c r="D187" s="115" t="s">
        <v>831</v>
      </c>
      <c r="E187" s="115" t="s">
        <v>895</v>
      </c>
      <c r="F187" s="105" t="s">
        <v>433</v>
      </c>
      <c r="G187" s="126" t="s">
        <v>420</v>
      </c>
      <c r="H187" s="121" t="s">
        <v>237</v>
      </c>
      <c r="I187" s="126" t="s">
        <v>283</v>
      </c>
      <c r="J187" s="121" t="s">
        <v>284</v>
      </c>
      <c r="K187" s="128" t="s">
        <v>228</v>
      </c>
      <c r="L187" s="424">
        <v>10.199999999999999</v>
      </c>
      <c r="M187" s="121" t="s">
        <v>229</v>
      </c>
    </row>
    <row r="188" spans="1:13">
      <c r="A188" s="120" t="s">
        <v>948</v>
      </c>
      <c r="B188" s="121" t="s">
        <v>949</v>
      </c>
      <c r="C188" s="136">
        <v>3080</v>
      </c>
      <c r="D188" s="115" t="s">
        <v>831</v>
      </c>
      <c r="E188" s="115" t="s">
        <v>895</v>
      </c>
      <c r="F188" s="105" t="s">
        <v>434</v>
      </c>
      <c r="G188" s="126" t="s">
        <v>420</v>
      </c>
      <c r="H188" s="121" t="s">
        <v>237</v>
      </c>
      <c r="I188" s="126" t="s">
        <v>283</v>
      </c>
      <c r="J188" s="121" t="s">
        <v>284</v>
      </c>
      <c r="K188" s="128" t="s">
        <v>228</v>
      </c>
      <c r="L188" s="424">
        <v>10.199999999999999</v>
      </c>
      <c r="M188" s="121" t="s">
        <v>229</v>
      </c>
    </row>
    <row r="189" spans="1:13">
      <c r="A189" s="120" t="s">
        <v>948</v>
      </c>
      <c r="B189" s="121" t="s">
        <v>949</v>
      </c>
      <c r="C189" s="136">
        <v>3303</v>
      </c>
      <c r="D189" s="115" t="s">
        <v>831</v>
      </c>
      <c r="E189" s="115" t="s">
        <v>895</v>
      </c>
      <c r="F189" s="105" t="s">
        <v>435</v>
      </c>
      <c r="G189" s="126" t="s">
        <v>420</v>
      </c>
      <c r="H189" s="121" t="s">
        <v>237</v>
      </c>
      <c r="I189" s="126" t="s">
        <v>283</v>
      </c>
      <c r="J189" s="121" t="s">
        <v>284</v>
      </c>
      <c r="K189" s="128" t="s">
        <v>228</v>
      </c>
      <c r="L189" s="424">
        <v>10.199999999999999</v>
      </c>
      <c r="M189" s="121" t="s">
        <v>229</v>
      </c>
    </row>
    <row r="190" spans="1:13">
      <c r="A190" s="120" t="s">
        <v>948</v>
      </c>
      <c r="B190" s="121" t="s">
        <v>949</v>
      </c>
      <c r="C190" s="136">
        <v>3304</v>
      </c>
      <c r="D190" s="115" t="s">
        <v>831</v>
      </c>
      <c r="E190" s="115" t="s">
        <v>895</v>
      </c>
      <c r="F190" s="105" t="s">
        <v>436</v>
      </c>
      <c r="G190" s="126" t="s">
        <v>420</v>
      </c>
      <c r="H190" s="121" t="s">
        <v>237</v>
      </c>
      <c r="I190" s="126" t="s">
        <v>283</v>
      </c>
      <c r="J190" s="121" t="s">
        <v>284</v>
      </c>
      <c r="K190" s="128" t="s">
        <v>228</v>
      </c>
      <c r="L190" s="424">
        <v>10.199999999999999</v>
      </c>
      <c r="M190" s="121" t="s">
        <v>229</v>
      </c>
    </row>
    <row r="191" spans="1:13">
      <c r="A191" s="120" t="s">
        <v>948</v>
      </c>
      <c r="B191" s="121" t="s">
        <v>949</v>
      </c>
      <c r="C191" s="136">
        <v>3305</v>
      </c>
      <c r="D191" s="115" t="s">
        <v>831</v>
      </c>
      <c r="E191" s="115" t="s">
        <v>895</v>
      </c>
      <c r="F191" s="105" t="s">
        <v>437</v>
      </c>
      <c r="G191" s="126" t="s">
        <v>420</v>
      </c>
      <c r="H191" s="121" t="s">
        <v>237</v>
      </c>
      <c r="I191" s="126" t="s">
        <v>283</v>
      </c>
      <c r="J191" s="121" t="s">
        <v>284</v>
      </c>
      <c r="K191" s="128" t="s">
        <v>228</v>
      </c>
      <c r="L191" s="424">
        <v>10.199999999999999</v>
      </c>
      <c r="M191" s="121" t="s">
        <v>229</v>
      </c>
    </row>
    <row r="192" spans="1:13">
      <c r="A192" s="120" t="s">
        <v>948</v>
      </c>
      <c r="B192" s="121" t="s">
        <v>949</v>
      </c>
      <c r="C192" s="136">
        <v>3306</v>
      </c>
      <c r="D192" s="115" t="s">
        <v>831</v>
      </c>
      <c r="E192" s="115" t="s">
        <v>895</v>
      </c>
      <c r="F192" s="105" t="s">
        <v>438</v>
      </c>
      <c r="G192" s="126" t="s">
        <v>420</v>
      </c>
      <c r="H192" s="121" t="s">
        <v>237</v>
      </c>
      <c r="I192" s="126" t="s">
        <v>283</v>
      </c>
      <c r="J192" s="121" t="s">
        <v>284</v>
      </c>
      <c r="K192" s="128" t="s">
        <v>228</v>
      </c>
      <c r="L192" s="424">
        <v>10.199999999999999</v>
      </c>
      <c r="M192" s="121" t="s">
        <v>229</v>
      </c>
    </row>
    <row r="193" spans="1:13">
      <c r="A193" s="120" t="s">
        <v>948</v>
      </c>
      <c r="B193" s="121" t="s">
        <v>949</v>
      </c>
      <c r="C193" s="136">
        <v>3320</v>
      </c>
      <c r="D193" s="115" t="s">
        <v>831</v>
      </c>
      <c r="E193" s="115" t="s">
        <v>895</v>
      </c>
      <c r="F193" s="105" t="s">
        <v>439</v>
      </c>
      <c r="G193" s="126" t="s">
        <v>420</v>
      </c>
      <c r="H193" s="121" t="s">
        <v>237</v>
      </c>
      <c r="I193" s="126" t="s">
        <v>283</v>
      </c>
      <c r="J193" s="121" t="s">
        <v>284</v>
      </c>
      <c r="K193" s="128" t="s">
        <v>228</v>
      </c>
      <c r="L193" s="424">
        <v>10.199999999999999</v>
      </c>
      <c r="M193" s="121" t="s">
        <v>229</v>
      </c>
    </row>
    <row r="194" spans="1:13">
      <c r="A194" s="120" t="s">
        <v>948</v>
      </c>
      <c r="B194" s="121" t="s">
        <v>949</v>
      </c>
      <c r="C194" s="136">
        <v>3321</v>
      </c>
      <c r="D194" s="115" t="s">
        <v>831</v>
      </c>
      <c r="E194" s="115" t="s">
        <v>895</v>
      </c>
      <c r="F194" s="454" t="s">
        <v>955</v>
      </c>
      <c r="G194" s="126" t="s">
        <v>420</v>
      </c>
      <c r="H194" s="121" t="s">
        <v>237</v>
      </c>
      <c r="I194" s="126" t="s">
        <v>283</v>
      </c>
      <c r="J194" s="121" t="s">
        <v>284</v>
      </c>
      <c r="K194" s="128" t="s">
        <v>228</v>
      </c>
      <c r="L194" s="424">
        <v>10.199999999999999</v>
      </c>
      <c r="M194" s="121" t="s">
        <v>229</v>
      </c>
    </row>
    <row r="195" spans="1:13">
      <c r="A195" s="120" t="s">
        <v>948</v>
      </c>
      <c r="B195" s="121" t="s">
        <v>949</v>
      </c>
      <c r="C195" s="136">
        <v>3322</v>
      </c>
      <c r="D195" s="115" t="s">
        <v>831</v>
      </c>
      <c r="E195" s="115" t="s">
        <v>895</v>
      </c>
      <c r="F195" s="124" t="s">
        <v>440</v>
      </c>
      <c r="G195" s="126" t="s">
        <v>420</v>
      </c>
      <c r="H195" s="121" t="s">
        <v>237</v>
      </c>
      <c r="I195" s="126" t="s">
        <v>283</v>
      </c>
      <c r="J195" s="121" t="s">
        <v>284</v>
      </c>
      <c r="K195" s="128" t="s">
        <v>228</v>
      </c>
      <c r="L195" s="424">
        <v>10.199999999999999</v>
      </c>
      <c r="M195" s="121" t="s">
        <v>229</v>
      </c>
    </row>
    <row r="196" spans="1:13">
      <c r="A196" s="120" t="s">
        <v>948</v>
      </c>
      <c r="B196" s="121" t="s">
        <v>949</v>
      </c>
      <c r="C196" s="136">
        <v>3323</v>
      </c>
      <c r="D196" s="115" t="s">
        <v>831</v>
      </c>
      <c r="E196" s="115" t="s">
        <v>895</v>
      </c>
      <c r="F196" s="124" t="s">
        <v>956</v>
      </c>
      <c r="G196" s="126" t="s">
        <v>420</v>
      </c>
      <c r="H196" s="121" t="s">
        <v>237</v>
      </c>
      <c r="I196" s="126" t="s">
        <v>283</v>
      </c>
      <c r="J196" s="121" t="s">
        <v>284</v>
      </c>
      <c r="K196" s="128" t="s">
        <v>228</v>
      </c>
      <c r="L196" s="424">
        <v>10.199999999999999</v>
      </c>
      <c r="M196" s="446" t="s">
        <v>229</v>
      </c>
    </row>
    <row r="197" spans="1:13">
      <c r="A197" s="120" t="s">
        <v>948</v>
      </c>
      <c r="B197" s="121" t="s">
        <v>949</v>
      </c>
      <c r="C197" s="136">
        <v>3302</v>
      </c>
      <c r="D197" s="115" t="s">
        <v>831</v>
      </c>
      <c r="E197" s="115" t="s">
        <v>895</v>
      </c>
      <c r="F197" s="105" t="s">
        <v>441</v>
      </c>
      <c r="G197" s="126" t="s">
        <v>420</v>
      </c>
      <c r="H197" s="121" t="s">
        <v>237</v>
      </c>
      <c r="I197" s="126" t="s">
        <v>283</v>
      </c>
      <c r="J197" s="121" t="s">
        <v>284</v>
      </c>
      <c r="K197" s="128" t="s">
        <v>228</v>
      </c>
      <c r="L197" s="424">
        <v>10.199999999999999</v>
      </c>
      <c r="M197" s="121" t="s">
        <v>229</v>
      </c>
    </row>
    <row r="198" spans="1:13">
      <c r="A198" s="120" t="s">
        <v>948</v>
      </c>
      <c r="B198" s="121" t="s">
        <v>949</v>
      </c>
      <c r="C198" s="136">
        <v>3001</v>
      </c>
      <c r="D198" s="115" t="s">
        <v>831</v>
      </c>
      <c r="E198" s="115" t="s">
        <v>895</v>
      </c>
      <c r="F198" s="105" t="s">
        <v>453</v>
      </c>
      <c r="G198" s="126" t="s">
        <v>420</v>
      </c>
      <c r="H198" s="121" t="s">
        <v>237</v>
      </c>
      <c r="I198" s="126" t="s">
        <v>283</v>
      </c>
      <c r="J198" s="121" t="s">
        <v>284</v>
      </c>
      <c r="K198" s="128" t="s">
        <v>228</v>
      </c>
      <c r="L198" s="424">
        <v>10.199999999999999</v>
      </c>
      <c r="M198" s="121" t="s">
        <v>229</v>
      </c>
    </row>
    <row r="199" spans="1:13">
      <c r="A199" s="120" t="s">
        <v>948</v>
      </c>
      <c r="B199" s="121" t="s">
        <v>949</v>
      </c>
      <c r="C199" s="136">
        <v>3014</v>
      </c>
      <c r="D199" s="115" t="s">
        <v>831</v>
      </c>
      <c r="E199" s="115" t="s">
        <v>895</v>
      </c>
      <c r="F199" s="105" t="s">
        <v>454</v>
      </c>
      <c r="G199" s="126" t="s">
        <v>420</v>
      </c>
      <c r="H199" s="121" t="s">
        <v>237</v>
      </c>
      <c r="I199" s="126" t="s">
        <v>283</v>
      </c>
      <c r="J199" s="121" t="s">
        <v>284</v>
      </c>
      <c r="K199" s="128" t="s">
        <v>228</v>
      </c>
      <c r="L199" s="424">
        <v>10.199999999999999</v>
      </c>
      <c r="M199" s="121" t="s">
        <v>229</v>
      </c>
    </row>
    <row r="200" spans="1:13">
      <c r="A200" s="120" t="s">
        <v>948</v>
      </c>
      <c r="B200" s="121" t="s">
        <v>949</v>
      </c>
      <c r="C200" s="136">
        <v>3324</v>
      </c>
      <c r="D200" s="115" t="s">
        <v>831</v>
      </c>
      <c r="E200" s="115" t="s">
        <v>895</v>
      </c>
      <c r="F200" s="105" t="s">
        <v>455</v>
      </c>
      <c r="G200" s="126" t="s">
        <v>420</v>
      </c>
      <c r="H200" s="121" t="s">
        <v>237</v>
      </c>
      <c r="I200" s="126" t="s">
        <v>283</v>
      </c>
      <c r="J200" s="121" t="s">
        <v>284</v>
      </c>
      <c r="K200" s="128" t="s">
        <v>228</v>
      </c>
      <c r="L200" s="424">
        <v>10.199999999999999</v>
      </c>
      <c r="M200" s="121" t="s">
        <v>229</v>
      </c>
    </row>
    <row r="201" spans="1:13">
      <c r="A201" s="120" t="s">
        <v>948</v>
      </c>
      <c r="B201" s="121" t="s">
        <v>949</v>
      </c>
      <c r="C201" s="136">
        <v>3800</v>
      </c>
      <c r="D201" s="121">
        <v>12098070</v>
      </c>
      <c r="E201" s="115" t="s">
        <v>895</v>
      </c>
      <c r="F201" s="105" t="s">
        <v>957</v>
      </c>
      <c r="G201" s="126" t="s">
        <v>420</v>
      </c>
      <c r="H201" s="121" t="s">
        <v>237</v>
      </c>
      <c r="I201" s="126" t="s">
        <v>316</v>
      </c>
      <c r="J201" s="121" t="s">
        <v>284</v>
      </c>
      <c r="K201" s="128" t="s">
        <v>228</v>
      </c>
      <c r="L201" s="424">
        <v>8.1</v>
      </c>
      <c r="M201" s="446" t="s">
        <v>229</v>
      </c>
    </row>
    <row r="202" spans="1:13">
      <c r="A202" s="120" t="s">
        <v>948</v>
      </c>
      <c r="B202" s="121" t="s">
        <v>949</v>
      </c>
      <c r="C202" s="123">
        <v>3802</v>
      </c>
      <c r="D202" s="121">
        <v>12098070</v>
      </c>
      <c r="E202" s="115" t="s">
        <v>895</v>
      </c>
      <c r="F202" s="105" t="s">
        <v>442</v>
      </c>
      <c r="G202" s="126" t="s">
        <v>420</v>
      </c>
      <c r="H202" s="121" t="s">
        <v>237</v>
      </c>
      <c r="I202" s="126" t="s">
        <v>316</v>
      </c>
      <c r="J202" s="121" t="s">
        <v>284</v>
      </c>
      <c r="K202" s="128" t="s">
        <v>228</v>
      </c>
      <c r="L202" s="424">
        <v>8.1</v>
      </c>
      <c r="M202" s="121" t="s">
        <v>229</v>
      </c>
    </row>
    <row r="203" spans="1:13">
      <c r="A203" s="120" t="s">
        <v>948</v>
      </c>
      <c r="B203" s="121" t="s">
        <v>949</v>
      </c>
      <c r="C203" s="123">
        <v>3803</v>
      </c>
      <c r="D203" s="121">
        <v>12098070</v>
      </c>
      <c r="E203" s="115" t="s">
        <v>895</v>
      </c>
      <c r="F203" s="124" t="s">
        <v>443</v>
      </c>
      <c r="G203" s="126" t="s">
        <v>420</v>
      </c>
      <c r="H203" s="121" t="s">
        <v>237</v>
      </c>
      <c r="I203" s="126" t="s">
        <v>316</v>
      </c>
      <c r="J203" s="121" t="s">
        <v>284</v>
      </c>
      <c r="K203" s="128" t="s">
        <v>228</v>
      </c>
      <c r="L203" s="424">
        <v>8.1</v>
      </c>
      <c r="M203" s="121" t="s">
        <v>229</v>
      </c>
    </row>
    <row r="204" spans="1:13">
      <c r="A204" s="120" t="s">
        <v>948</v>
      </c>
      <c r="B204" s="121" t="s">
        <v>949</v>
      </c>
      <c r="C204" s="123">
        <v>3804</v>
      </c>
      <c r="D204" s="121">
        <v>12098070</v>
      </c>
      <c r="E204" s="115" t="s">
        <v>895</v>
      </c>
      <c r="F204" s="124" t="s">
        <v>444</v>
      </c>
      <c r="G204" s="126" t="s">
        <v>420</v>
      </c>
      <c r="H204" s="121" t="s">
        <v>237</v>
      </c>
      <c r="I204" s="126" t="s">
        <v>316</v>
      </c>
      <c r="J204" s="121" t="s">
        <v>284</v>
      </c>
      <c r="K204" s="128" t="s">
        <v>228</v>
      </c>
      <c r="L204" s="424">
        <v>8.1</v>
      </c>
      <c r="M204" s="121" t="s">
        <v>229</v>
      </c>
    </row>
    <row r="205" spans="1:13">
      <c r="A205" s="120" t="s">
        <v>948</v>
      </c>
      <c r="B205" s="121" t="s">
        <v>949</v>
      </c>
      <c r="C205" s="123">
        <v>3805</v>
      </c>
      <c r="D205" s="121">
        <v>12098070</v>
      </c>
      <c r="E205" s="115" t="s">
        <v>895</v>
      </c>
      <c r="F205" s="124" t="s">
        <v>445</v>
      </c>
      <c r="G205" s="126" t="s">
        <v>420</v>
      </c>
      <c r="H205" s="121" t="s">
        <v>237</v>
      </c>
      <c r="I205" s="126" t="s">
        <v>316</v>
      </c>
      <c r="J205" s="121" t="s">
        <v>284</v>
      </c>
      <c r="K205" s="128" t="s">
        <v>228</v>
      </c>
      <c r="L205" s="424">
        <v>8.1</v>
      </c>
      <c r="M205" s="121" t="s">
        <v>229</v>
      </c>
    </row>
    <row r="206" spans="1:13">
      <c r="A206" s="120" t="s">
        <v>948</v>
      </c>
      <c r="B206" s="121" t="s">
        <v>949</v>
      </c>
      <c r="C206" s="123">
        <v>3807</v>
      </c>
      <c r="D206" s="121">
        <v>12098070</v>
      </c>
      <c r="E206" s="115" t="s">
        <v>895</v>
      </c>
      <c r="F206" s="124" t="s">
        <v>446</v>
      </c>
      <c r="G206" s="126" t="s">
        <v>420</v>
      </c>
      <c r="H206" s="121" t="s">
        <v>237</v>
      </c>
      <c r="I206" s="126" t="s">
        <v>316</v>
      </c>
      <c r="J206" s="121" t="s">
        <v>284</v>
      </c>
      <c r="K206" s="128" t="s">
        <v>228</v>
      </c>
      <c r="L206" s="424">
        <v>8.1</v>
      </c>
      <c r="M206" s="121" t="s">
        <v>229</v>
      </c>
    </row>
    <row r="207" spans="1:13">
      <c r="A207" s="120" t="s">
        <v>948</v>
      </c>
      <c r="B207" s="121" t="s">
        <v>949</v>
      </c>
      <c r="C207" s="123">
        <v>3809</v>
      </c>
      <c r="D207" s="121">
        <v>12098070</v>
      </c>
      <c r="E207" s="115" t="s">
        <v>895</v>
      </c>
      <c r="F207" s="124" t="s">
        <v>447</v>
      </c>
      <c r="G207" s="126" t="s">
        <v>420</v>
      </c>
      <c r="H207" s="121" t="s">
        <v>237</v>
      </c>
      <c r="I207" s="126" t="s">
        <v>316</v>
      </c>
      <c r="J207" s="121" t="s">
        <v>284</v>
      </c>
      <c r="K207" s="128" t="s">
        <v>228</v>
      </c>
      <c r="L207" s="424">
        <v>8.1</v>
      </c>
      <c r="M207" s="121" t="s">
        <v>229</v>
      </c>
    </row>
    <row r="208" spans="1:13">
      <c r="A208" s="120" t="s">
        <v>948</v>
      </c>
      <c r="B208" s="121" t="s">
        <v>949</v>
      </c>
      <c r="C208" s="123">
        <v>3810</v>
      </c>
      <c r="D208" s="121">
        <v>12098070</v>
      </c>
      <c r="E208" s="115" t="s">
        <v>895</v>
      </c>
      <c r="F208" s="124" t="s">
        <v>448</v>
      </c>
      <c r="G208" s="126" t="s">
        <v>420</v>
      </c>
      <c r="H208" s="121" t="s">
        <v>237</v>
      </c>
      <c r="I208" s="126" t="s">
        <v>316</v>
      </c>
      <c r="J208" s="121" t="s">
        <v>284</v>
      </c>
      <c r="K208" s="128" t="s">
        <v>228</v>
      </c>
      <c r="L208" s="424">
        <v>8.1</v>
      </c>
      <c r="M208" s="121" t="s">
        <v>229</v>
      </c>
    </row>
    <row r="209" spans="1:13">
      <c r="A209" s="120" t="s">
        <v>948</v>
      </c>
      <c r="B209" s="121" t="s">
        <v>949</v>
      </c>
      <c r="C209" s="123">
        <v>3812</v>
      </c>
      <c r="D209" s="121">
        <v>12098070</v>
      </c>
      <c r="E209" s="115" t="s">
        <v>895</v>
      </c>
      <c r="F209" s="124" t="s">
        <v>449</v>
      </c>
      <c r="G209" s="126" t="s">
        <v>420</v>
      </c>
      <c r="H209" s="121" t="s">
        <v>237</v>
      </c>
      <c r="I209" s="126" t="s">
        <v>316</v>
      </c>
      <c r="J209" s="121" t="s">
        <v>284</v>
      </c>
      <c r="K209" s="128" t="s">
        <v>228</v>
      </c>
      <c r="L209" s="424">
        <v>8.1</v>
      </c>
      <c r="M209" s="121" t="s">
        <v>229</v>
      </c>
    </row>
    <row r="210" spans="1:13">
      <c r="A210" s="120" t="s">
        <v>948</v>
      </c>
      <c r="B210" s="121" t="s">
        <v>949</v>
      </c>
      <c r="C210" s="123">
        <v>3814</v>
      </c>
      <c r="D210" s="121">
        <v>12098070</v>
      </c>
      <c r="E210" s="115" t="s">
        <v>895</v>
      </c>
      <c r="F210" s="124" t="s">
        <v>450</v>
      </c>
      <c r="G210" s="126" t="s">
        <v>420</v>
      </c>
      <c r="H210" s="121" t="s">
        <v>237</v>
      </c>
      <c r="I210" s="126" t="s">
        <v>316</v>
      </c>
      <c r="J210" s="121" t="s">
        <v>284</v>
      </c>
      <c r="K210" s="128" t="s">
        <v>228</v>
      </c>
      <c r="L210" s="424">
        <v>8.1</v>
      </c>
      <c r="M210" s="121" t="s">
        <v>229</v>
      </c>
    </row>
    <row r="211" spans="1:13">
      <c r="A211" s="120" t="s">
        <v>948</v>
      </c>
      <c r="B211" s="121" t="s">
        <v>949</v>
      </c>
      <c r="C211" s="123">
        <v>3815</v>
      </c>
      <c r="D211" s="121">
        <v>12098070</v>
      </c>
      <c r="E211" s="115" t="s">
        <v>895</v>
      </c>
      <c r="F211" s="124" t="s">
        <v>451</v>
      </c>
      <c r="G211" s="126" t="s">
        <v>420</v>
      </c>
      <c r="H211" s="121" t="s">
        <v>237</v>
      </c>
      <c r="I211" s="126" t="s">
        <v>316</v>
      </c>
      <c r="J211" s="121" t="s">
        <v>284</v>
      </c>
      <c r="K211" s="128" t="s">
        <v>228</v>
      </c>
      <c r="L211" s="424">
        <v>8.1</v>
      </c>
      <c r="M211" s="121" t="s">
        <v>229</v>
      </c>
    </row>
    <row r="212" spans="1:13">
      <c r="A212" s="120" t="s">
        <v>948</v>
      </c>
      <c r="B212" s="121" t="s">
        <v>949</v>
      </c>
      <c r="C212" s="123">
        <v>3818</v>
      </c>
      <c r="D212" s="121">
        <v>12098070</v>
      </c>
      <c r="E212" s="115" t="s">
        <v>895</v>
      </c>
      <c r="F212" s="124" t="s">
        <v>452</v>
      </c>
      <c r="G212" s="126" t="s">
        <v>420</v>
      </c>
      <c r="H212" s="121" t="s">
        <v>237</v>
      </c>
      <c r="I212" s="126" t="s">
        <v>316</v>
      </c>
      <c r="J212" s="121" t="s">
        <v>284</v>
      </c>
      <c r="K212" s="128" t="s">
        <v>228</v>
      </c>
      <c r="L212" s="424">
        <v>8.1</v>
      </c>
      <c r="M212" s="121" t="s">
        <v>229</v>
      </c>
    </row>
    <row r="213" spans="1:13">
      <c r="A213" s="120" t="s">
        <v>329</v>
      </c>
      <c r="B213" s="121" t="s">
        <v>330</v>
      </c>
      <c r="C213" s="122">
        <v>2401</v>
      </c>
      <c r="D213" s="136">
        <v>12240070</v>
      </c>
      <c r="E213" s="115" t="s">
        <v>895</v>
      </c>
      <c r="F213" s="139" t="s">
        <v>342</v>
      </c>
      <c r="G213" s="126" t="s">
        <v>332</v>
      </c>
      <c r="H213" s="121" t="s">
        <v>237</v>
      </c>
      <c r="I213" s="126" t="s">
        <v>343</v>
      </c>
      <c r="J213" s="121" t="s">
        <v>284</v>
      </c>
      <c r="K213" s="128" t="s">
        <v>344</v>
      </c>
      <c r="L213" s="424">
        <v>5.15</v>
      </c>
      <c r="M213" s="121" t="s">
        <v>229</v>
      </c>
    </row>
    <row r="214" spans="1:13">
      <c r="A214" s="120" t="s">
        <v>329</v>
      </c>
      <c r="B214" s="121" t="s">
        <v>330</v>
      </c>
      <c r="C214" s="123">
        <v>2402</v>
      </c>
      <c r="D214" s="136">
        <v>12240070</v>
      </c>
      <c r="E214" s="115" t="s">
        <v>895</v>
      </c>
      <c r="F214" s="139" t="s">
        <v>345</v>
      </c>
      <c r="G214" s="126" t="s">
        <v>332</v>
      </c>
      <c r="H214" s="121" t="s">
        <v>237</v>
      </c>
      <c r="I214" s="126" t="s">
        <v>343</v>
      </c>
      <c r="J214" s="121" t="s">
        <v>284</v>
      </c>
      <c r="K214" s="128" t="s">
        <v>344</v>
      </c>
      <c r="L214" s="424">
        <v>5.15</v>
      </c>
      <c r="M214" s="121" t="s">
        <v>229</v>
      </c>
    </row>
    <row r="215" spans="1:13">
      <c r="A215" s="120" t="s">
        <v>329</v>
      </c>
      <c r="B215" s="121" t="s">
        <v>330</v>
      </c>
      <c r="C215" s="123">
        <v>2405</v>
      </c>
      <c r="D215" s="136">
        <v>12240070</v>
      </c>
      <c r="E215" s="115" t="s">
        <v>895</v>
      </c>
      <c r="F215" s="139" t="s">
        <v>346</v>
      </c>
      <c r="G215" s="126" t="s">
        <v>332</v>
      </c>
      <c r="H215" s="121" t="s">
        <v>237</v>
      </c>
      <c r="I215" s="126" t="s">
        <v>343</v>
      </c>
      <c r="J215" s="121" t="s">
        <v>284</v>
      </c>
      <c r="K215" s="128" t="s">
        <v>344</v>
      </c>
      <c r="L215" s="424">
        <v>5.15</v>
      </c>
      <c r="M215" s="121" t="s">
        <v>229</v>
      </c>
    </row>
    <row r="216" spans="1:13">
      <c r="A216" s="120" t="s">
        <v>329</v>
      </c>
      <c r="B216" s="121" t="s">
        <v>330</v>
      </c>
      <c r="C216" s="123">
        <v>2411</v>
      </c>
      <c r="D216" s="136">
        <v>12240070</v>
      </c>
      <c r="E216" s="115" t="s">
        <v>895</v>
      </c>
      <c r="F216" s="139" t="s">
        <v>347</v>
      </c>
      <c r="G216" s="126" t="s">
        <v>332</v>
      </c>
      <c r="H216" s="121" t="s">
        <v>237</v>
      </c>
      <c r="I216" s="126" t="s">
        <v>343</v>
      </c>
      <c r="J216" s="121" t="s">
        <v>284</v>
      </c>
      <c r="K216" s="128" t="s">
        <v>344</v>
      </c>
      <c r="L216" s="424">
        <v>5.15</v>
      </c>
      <c r="M216" s="121" t="s">
        <v>229</v>
      </c>
    </row>
    <row r="217" spans="1:13">
      <c r="A217" s="120" t="s">
        <v>329</v>
      </c>
      <c r="B217" s="121" t="s">
        <v>330</v>
      </c>
      <c r="C217" s="129">
        <v>2501</v>
      </c>
      <c r="D217" s="115" t="s">
        <v>832</v>
      </c>
      <c r="E217" s="115" t="s">
        <v>895</v>
      </c>
      <c r="F217" s="139" t="s">
        <v>348</v>
      </c>
      <c r="G217" s="131" t="s">
        <v>332</v>
      </c>
      <c r="H217" s="123" t="s">
        <v>237</v>
      </c>
      <c r="I217" s="133" t="s">
        <v>316</v>
      </c>
      <c r="J217" s="123" t="s">
        <v>284</v>
      </c>
      <c r="K217" s="107" t="s">
        <v>349</v>
      </c>
      <c r="L217" s="424">
        <v>6.75</v>
      </c>
      <c r="M217" s="121" t="s">
        <v>229</v>
      </c>
    </row>
    <row r="218" spans="1:13">
      <c r="A218" s="120" t="s">
        <v>329</v>
      </c>
      <c r="B218" s="121" t="s">
        <v>330</v>
      </c>
      <c r="C218" s="129">
        <v>2502</v>
      </c>
      <c r="D218" s="115" t="s">
        <v>832</v>
      </c>
      <c r="E218" s="115" t="s">
        <v>895</v>
      </c>
      <c r="F218" s="139" t="s">
        <v>350</v>
      </c>
      <c r="G218" s="131" t="s">
        <v>332</v>
      </c>
      <c r="H218" s="123" t="s">
        <v>237</v>
      </c>
      <c r="I218" s="133" t="s">
        <v>316</v>
      </c>
      <c r="J218" s="123" t="s">
        <v>284</v>
      </c>
      <c r="K218" s="107" t="s">
        <v>349</v>
      </c>
      <c r="L218" s="424">
        <v>6.75</v>
      </c>
      <c r="M218" s="121" t="s">
        <v>229</v>
      </c>
    </row>
    <row r="219" spans="1:13">
      <c r="A219" s="120" t="s">
        <v>329</v>
      </c>
      <c r="B219" s="121" t="s">
        <v>330</v>
      </c>
      <c r="C219" s="129">
        <v>2503</v>
      </c>
      <c r="D219" s="115" t="s">
        <v>832</v>
      </c>
      <c r="E219" s="115" t="s">
        <v>895</v>
      </c>
      <c r="F219" s="139" t="s">
        <v>351</v>
      </c>
      <c r="G219" s="131" t="s">
        <v>332</v>
      </c>
      <c r="H219" s="123" t="s">
        <v>237</v>
      </c>
      <c r="I219" s="133" t="s">
        <v>316</v>
      </c>
      <c r="J219" s="123" t="s">
        <v>284</v>
      </c>
      <c r="K219" s="107" t="s">
        <v>349</v>
      </c>
      <c r="L219" s="424">
        <v>6.75</v>
      </c>
      <c r="M219" s="121" t="s">
        <v>229</v>
      </c>
    </row>
    <row r="220" spans="1:13">
      <c r="A220" s="120" t="s">
        <v>329</v>
      </c>
      <c r="B220" s="121" t="s">
        <v>330</v>
      </c>
      <c r="C220" s="129">
        <v>2504</v>
      </c>
      <c r="D220" s="115" t="s">
        <v>832</v>
      </c>
      <c r="E220" s="115" t="s">
        <v>895</v>
      </c>
      <c r="F220" s="139" t="s">
        <v>352</v>
      </c>
      <c r="G220" s="131" t="s">
        <v>332</v>
      </c>
      <c r="H220" s="123" t="s">
        <v>237</v>
      </c>
      <c r="I220" s="133" t="s">
        <v>316</v>
      </c>
      <c r="J220" s="123" t="s">
        <v>284</v>
      </c>
      <c r="K220" s="107" t="s">
        <v>349</v>
      </c>
      <c r="L220" s="424">
        <v>6.75</v>
      </c>
      <c r="M220" s="121" t="s">
        <v>229</v>
      </c>
    </row>
    <row r="221" spans="1:13">
      <c r="A221" s="120" t="s">
        <v>329</v>
      </c>
      <c r="B221" s="121" t="s">
        <v>330</v>
      </c>
      <c r="C221" s="129">
        <v>2505</v>
      </c>
      <c r="D221" s="115" t="s">
        <v>832</v>
      </c>
      <c r="E221" s="115" t="s">
        <v>895</v>
      </c>
      <c r="F221" s="139" t="s">
        <v>353</v>
      </c>
      <c r="G221" s="131" t="s">
        <v>332</v>
      </c>
      <c r="H221" s="123" t="s">
        <v>237</v>
      </c>
      <c r="I221" s="133" t="s">
        <v>316</v>
      </c>
      <c r="J221" s="123" t="s">
        <v>284</v>
      </c>
      <c r="K221" s="107" t="s">
        <v>349</v>
      </c>
      <c r="L221" s="424">
        <v>6.75</v>
      </c>
      <c r="M221" s="121" t="s">
        <v>229</v>
      </c>
    </row>
    <row r="222" spans="1:13">
      <c r="A222" s="120" t="s">
        <v>329</v>
      </c>
      <c r="B222" s="121" t="s">
        <v>330</v>
      </c>
      <c r="C222" s="122">
        <v>2507</v>
      </c>
      <c r="D222" s="115" t="s">
        <v>832</v>
      </c>
      <c r="E222" s="115" t="s">
        <v>895</v>
      </c>
      <c r="F222" s="139" t="s">
        <v>354</v>
      </c>
      <c r="G222" s="131" t="s">
        <v>332</v>
      </c>
      <c r="H222" s="123" t="s">
        <v>237</v>
      </c>
      <c r="I222" s="133" t="s">
        <v>316</v>
      </c>
      <c r="J222" s="123" t="s">
        <v>284</v>
      </c>
      <c r="K222" s="107" t="s">
        <v>349</v>
      </c>
      <c r="L222" s="424">
        <v>6.75</v>
      </c>
      <c r="M222" s="121" t="s">
        <v>229</v>
      </c>
    </row>
    <row r="223" spans="1:13">
      <c r="A223" s="450" t="s">
        <v>329</v>
      </c>
      <c r="B223" s="440" t="s">
        <v>330</v>
      </c>
      <c r="C223" s="122">
        <v>2508</v>
      </c>
      <c r="D223" s="437" t="s">
        <v>832</v>
      </c>
      <c r="E223" s="437" t="s">
        <v>895</v>
      </c>
      <c r="F223" s="124" t="s">
        <v>355</v>
      </c>
      <c r="G223" s="131" t="s">
        <v>332</v>
      </c>
      <c r="H223" s="123" t="s">
        <v>237</v>
      </c>
      <c r="I223" s="133" t="s">
        <v>316</v>
      </c>
      <c r="J223" s="123" t="s">
        <v>284</v>
      </c>
      <c r="K223" s="107" t="s">
        <v>349</v>
      </c>
      <c r="L223" s="424">
        <v>6.75</v>
      </c>
      <c r="M223" s="121" t="s">
        <v>229</v>
      </c>
    </row>
    <row r="224" spans="1:13">
      <c r="A224" s="450" t="s">
        <v>329</v>
      </c>
      <c r="B224" s="440" t="s">
        <v>330</v>
      </c>
      <c r="C224" s="129">
        <v>2512</v>
      </c>
      <c r="D224" s="437" t="s">
        <v>832</v>
      </c>
      <c r="E224" s="437" t="s">
        <v>895</v>
      </c>
      <c r="F224" s="124" t="s">
        <v>356</v>
      </c>
      <c r="G224" s="455" t="s">
        <v>332</v>
      </c>
      <c r="H224" s="122" t="s">
        <v>237</v>
      </c>
      <c r="I224" s="452" t="s">
        <v>316</v>
      </c>
      <c r="J224" s="122" t="s">
        <v>284</v>
      </c>
      <c r="K224" s="107" t="s">
        <v>349</v>
      </c>
      <c r="L224" s="445">
        <v>6.75</v>
      </c>
      <c r="M224" s="440" t="s">
        <v>229</v>
      </c>
    </row>
    <row r="225" spans="1:13">
      <c r="A225" s="120" t="s">
        <v>329</v>
      </c>
      <c r="B225" s="121" t="s">
        <v>330</v>
      </c>
      <c r="C225" s="122">
        <v>2801</v>
      </c>
      <c r="D225" s="115" t="s">
        <v>832</v>
      </c>
      <c r="E225" s="115" t="s">
        <v>895</v>
      </c>
      <c r="F225" s="139" t="s">
        <v>357</v>
      </c>
      <c r="G225" s="131" t="s">
        <v>332</v>
      </c>
      <c r="H225" s="123" t="s">
        <v>237</v>
      </c>
      <c r="I225" s="133" t="s">
        <v>316</v>
      </c>
      <c r="J225" s="123" t="s">
        <v>284</v>
      </c>
      <c r="K225" s="107" t="s">
        <v>349</v>
      </c>
      <c r="L225" s="424">
        <v>6.75</v>
      </c>
      <c r="M225" s="121" t="s">
        <v>229</v>
      </c>
    </row>
    <row r="226" spans="1:13">
      <c r="A226" s="120" t="s">
        <v>329</v>
      </c>
      <c r="B226" s="121" t="s">
        <v>330</v>
      </c>
      <c r="C226" s="122">
        <v>2802</v>
      </c>
      <c r="D226" s="115" t="s">
        <v>832</v>
      </c>
      <c r="E226" s="115" t="s">
        <v>895</v>
      </c>
      <c r="F226" s="139" t="s">
        <v>358</v>
      </c>
      <c r="G226" s="131" t="s">
        <v>332</v>
      </c>
      <c r="H226" s="123" t="s">
        <v>237</v>
      </c>
      <c r="I226" s="133" t="s">
        <v>316</v>
      </c>
      <c r="J226" s="123" t="s">
        <v>284</v>
      </c>
      <c r="K226" s="107" t="s">
        <v>349</v>
      </c>
      <c r="L226" s="424">
        <v>6.75</v>
      </c>
      <c r="M226" s="121" t="s">
        <v>229</v>
      </c>
    </row>
    <row r="227" spans="1:13">
      <c r="A227" s="120" t="s">
        <v>329</v>
      </c>
      <c r="B227" s="121" t="s">
        <v>330</v>
      </c>
      <c r="C227" s="122">
        <v>2804</v>
      </c>
      <c r="D227" s="115" t="s">
        <v>832</v>
      </c>
      <c r="E227" s="115" t="s">
        <v>895</v>
      </c>
      <c r="F227" s="139" t="s">
        <v>958</v>
      </c>
      <c r="G227" s="131" t="s">
        <v>332</v>
      </c>
      <c r="H227" s="123" t="s">
        <v>237</v>
      </c>
      <c r="I227" s="133" t="s">
        <v>316</v>
      </c>
      <c r="J227" s="123" t="s">
        <v>284</v>
      </c>
      <c r="K227" s="107" t="s">
        <v>349</v>
      </c>
      <c r="L227" s="424">
        <v>6.75</v>
      </c>
      <c r="M227" s="121" t="s">
        <v>229</v>
      </c>
    </row>
    <row r="228" spans="1:13">
      <c r="A228" s="120" t="s">
        <v>329</v>
      </c>
      <c r="B228" s="121" t="s">
        <v>330</v>
      </c>
      <c r="C228" s="122">
        <v>2805</v>
      </c>
      <c r="D228" s="115" t="s">
        <v>832</v>
      </c>
      <c r="E228" s="115" t="s">
        <v>895</v>
      </c>
      <c r="F228" s="139" t="s">
        <v>959</v>
      </c>
      <c r="G228" s="131" t="s">
        <v>332</v>
      </c>
      <c r="H228" s="123" t="s">
        <v>237</v>
      </c>
      <c r="I228" s="133" t="s">
        <v>316</v>
      </c>
      <c r="J228" s="123" t="s">
        <v>284</v>
      </c>
      <c r="K228" s="107" t="s">
        <v>349</v>
      </c>
      <c r="L228" s="424">
        <v>6.75</v>
      </c>
      <c r="M228" s="121" t="s">
        <v>229</v>
      </c>
    </row>
    <row r="229" spans="1:13">
      <c r="A229" s="120" t="s">
        <v>329</v>
      </c>
      <c r="B229" s="121" t="s">
        <v>330</v>
      </c>
      <c r="C229" s="122">
        <v>2803</v>
      </c>
      <c r="D229" s="115" t="s">
        <v>832</v>
      </c>
      <c r="E229" s="115" t="s">
        <v>895</v>
      </c>
      <c r="F229" s="139" t="s">
        <v>359</v>
      </c>
      <c r="G229" s="131" t="s">
        <v>332</v>
      </c>
      <c r="H229" s="123" t="s">
        <v>237</v>
      </c>
      <c r="I229" s="133" t="s">
        <v>316</v>
      </c>
      <c r="J229" s="123" t="s">
        <v>284</v>
      </c>
      <c r="K229" s="107" t="s">
        <v>349</v>
      </c>
      <c r="L229" s="424">
        <v>6.75</v>
      </c>
      <c r="M229" s="121" t="s">
        <v>229</v>
      </c>
    </row>
    <row r="230" spans="1:13">
      <c r="A230" s="120" t="s">
        <v>329</v>
      </c>
      <c r="B230" s="121" t="s">
        <v>330</v>
      </c>
      <c r="C230" s="122">
        <v>2807</v>
      </c>
      <c r="D230" s="115" t="s">
        <v>832</v>
      </c>
      <c r="E230" s="115" t="s">
        <v>895</v>
      </c>
      <c r="F230" s="139" t="s">
        <v>360</v>
      </c>
      <c r="G230" s="131" t="s">
        <v>332</v>
      </c>
      <c r="H230" s="123" t="s">
        <v>237</v>
      </c>
      <c r="I230" s="133" t="s">
        <v>316</v>
      </c>
      <c r="J230" s="123" t="s">
        <v>284</v>
      </c>
      <c r="K230" s="107" t="s">
        <v>349</v>
      </c>
      <c r="L230" s="424">
        <v>6.75</v>
      </c>
      <c r="M230" s="121" t="s">
        <v>229</v>
      </c>
    </row>
    <row r="231" spans="1:13">
      <c r="A231" s="120" t="s">
        <v>329</v>
      </c>
      <c r="B231" s="121" t="s">
        <v>330</v>
      </c>
      <c r="C231" s="122">
        <v>2808</v>
      </c>
      <c r="D231" s="115" t="s">
        <v>832</v>
      </c>
      <c r="E231" s="115" t="s">
        <v>895</v>
      </c>
      <c r="F231" s="139" t="s">
        <v>361</v>
      </c>
      <c r="G231" s="131" t="s">
        <v>332</v>
      </c>
      <c r="H231" s="123" t="s">
        <v>237</v>
      </c>
      <c r="I231" s="133" t="s">
        <v>316</v>
      </c>
      <c r="J231" s="123" t="s">
        <v>284</v>
      </c>
      <c r="K231" s="107" t="s">
        <v>349</v>
      </c>
      <c r="L231" s="424">
        <v>6.75</v>
      </c>
      <c r="M231" s="121" t="s">
        <v>229</v>
      </c>
    </row>
    <row r="232" spans="1:13">
      <c r="A232" s="120" t="s">
        <v>329</v>
      </c>
      <c r="B232" s="121" t="s">
        <v>330</v>
      </c>
      <c r="C232" s="122">
        <v>2809</v>
      </c>
      <c r="D232" s="115" t="s">
        <v>832</v>
      </c>
      <c r="E232" s="115" t="s">
        <v>895</v>
      </c>
      <c r="F232" s="139" t="s">
        <v>362</v>
      </c>
      <c r="G232" s="131" t="s">
        <v>332</v>
      </c>
      <c r="H232" s="123" t="s">
        <v>237</v>
      </c>
      <c r="I232" s="133" t="s">
        <v>316</v>
      </c>
      <c r="J232" s="123" t="s">
        <v>284</v>
      </c>
      <c r="K232" s="107" t="s">
        <v>349</v>
      </c>
      <c r="L232" s="424">
        <v>6.75</v>
      </c>
      <c r="M232" s="121" t="s">
        <v>229</v>
      </c>
    </row>
    <row r="233" spans="1:13">
      <c r="A233" s="120" t="s">
        <v>329</v>
      </c>
      <c r="B233" s="121" t="s">
        <v>330</v>
      </c>
      <c r="C233" s="122">
        <v>2810</v>
      </c>
      <c r="D233" s="115" t="s">
        <v>832</v>
      </c>
      <c r="E233" s="115" t="s">
        <v>895</v>
      </c>
      <c r="F233" s="139" t="s">
        <v>363</v>
      </c>
      <c r="G233" s="131" t="s">
        <v>332</v>
      </c>
      <c r="H233" s="123" t="s">
        <v>237</v>
      </c>
      <c r="I233" s="133" t="s">
        <v>316</v>
      </c>
      <c r="J233" s="123" t="s">
        <v>284</v>
      </c>
      <c r="K233" s="107" t="s">
        <v>349</v>
      </c>
      <c r="L233" s="424">
        <v>6.75</v>
      </c>
      <c r="M233" s="121" t="s">
        <v>229</v>
      </c>
    </row>
    <row r="234" spans="1:13">
      <c r="A234" s="120" t="s">
        <v>329</v>
      </c>
      <c r="B234" s="121" t="s">
        <v>330</v>
      </c>
      <c r="C234" s="122">
        <v>2813</v>
      </c>
      <c r="D234" s="115" t="s">
        <v>832</v>
      </c>
      <c r="E234" s="115" t="s">
        <v>895</v>
      </c>
      <c r="F234" s="139" t="s">
        <v>364</v>
      </c>
      <c r="G234" s="131" t="s">
        <v>332</v>
      </c>
      <c r="H234" s="123" t="s">
        <v>237</v>
      </c>
      <c r="I234" s="133" t="s">
        <v>316</v>
      </c>
      <c r="J234" s="123" t="s">
        <v>284</v>
      </c>
      <c r="K234" s="107" t="s">
        <v>349</v>
      </c>
      <c r="L234" s="424">
        <v>6.75</v>
      </c>
      <c r="M234" s="121" t="s">
        <v>229</v>
      </c>
    </row>
    <row r="235" spans="1:13">
      <c r="A235" s="120" t="s">
        <v>329</v>
      </c>
      <c r="B235" s="121" t="s">
        <v>330</v>
      </c>
      <c r="C235" s="122">
        <v>2814</v>
      </c>
      <c r="D235" s="115" t="s">
        <v>832</v>
      </c>
      <c r="E235" s="115" t="s">
        <v>895</v>
      </c>
      <c r="F235" s="139" t="s">
        <v>960</v>
      </c>
      <c r="G235" s="131" t="s">
        <v>332</v>
      </c>
      <c r="H235" s="123" t="s">
        <v>237</v>
      </c>
      <c r="I235" s="133" t="s">
        <v>316</v>
      </c>
      <c r="J235" s="123" t="s">
        <v>284</v>
      </c>
      <c r="K235" s="107" t="s">
        <v>349</v>
      </c>
      <c r="L235" s="424">
        <v>6.75</v>
      </c>
      <c r="M235" s="121" t="s">
        <v>229</v>
      </c>
    </row>
    <row r="236" spans="1:13">
      <c r="A236" s="120" t="s">
        <v>329</v>
      </c>
      <c r="B236" s="121" t="s">
        <v>330</v>
      </c>
      <c r="C236" s="122">
        <v>2815</v>
      </c>
      <c r="D236" s="115" t="s">
        <v>832</v>
      </c>
      <c r="E236" s="115" t="s">
        <v>895</v>
      </c>
      <c r="F236" s="139" t="s">
        <v>365</v>
      </c>
      <c r="G236" s="131" t="s">
        <v>332</v>
      </c>
      <c r="H236" s="123" t="s">
        <v>237</v>
      </c>
      <c r="I236" s="133" t="s">
        <v>316</v>
      </c>
      <c r="J236" s="123" t="s">
        <v>284</v>
      </c>
      <c r="K236" s="107" t="s">
        <v>349</v>
      </c>
      <c r="L236" s="424">
        <v>6.75</v>
      </c>
      <c r="M236" s="121" t="s">
        <v>229</v>
      </c>
    </row>
    <row r="237" spans="1:13">
      <c r="A237" s="120" t="s">
        <v>329</v>
      </c>
      <c r="B237" s="121" t="s">
        <v>330</v>
      </c>
      <c r="C237" s="122">
        <v>2817</v>
      </c>
      <c r="D237" s="115" t="s">
        <v>832</v>
      </c>
      <c r="E237" s="115" t="s">
        <v>895</v>
      </c>
      <c r="F237" s="139" t="s">
        <v>366</v>
      </c>
      <c r="G237" s="131" t="s">
        <v>332</v>
      </c>
      <c r="H237" s="123" t="s">
        <v>237</v>
      </c>
      <c r="I237" s="133" t="s">
        <v>316</v>
      </c>
      <c r="J237" s="123" t="s">
        <v>284</v>
      </c>
      <c r="K237" s="107" t="s">
        <v>349</v>
      </c>
      <c r="L237" s="424">
        <v>6.75</v>
      </c>
      <c r="M237" s="121" t="s">
        <v>229</v>
      </c>
    </row>
    <row r="238" spans="1:13">
      <c r="A238" s="120" t="s">
        <v>329</v>
      </c>
      <c r="B238" s="121" t="s">
        <v>330</v>
      </c>
      <c r="C238" s="122">
        <v>2818</v>
      </c>
      <c r="D238" s="115" t="s">
        <v>832</v>
      </c>
      <c r="E238" s="115" t="s">
        <v>895</v>
      </c>
      <c r="F238" s="139" t="s">
        <v>367</v>
      </c>
      <c r="G238" s="131" t="s">
        <v>332</v>
      </c>
      <c r="H238" s="123" t="s">
        <v>237</v>
      </c>
      <c r="I238" s="133" t="s">
        <v>316</v>
      </c>
      <c r="J238" s="123" t="s">
        <v>284</v>
      </c>
      <c r="K238" s="107" t="s">
        <v>349</v>
      </c>
      <c r="L238" s="424">
        <v>6.75</v>
      </c>
      <c r="M238" s="121" t="s">
        <v>229</v>
      </c>
    </row>
    <row r="239" spans="1:13">
      <c r="A239" s="120" t="s">
        <v>329</v>
      </c>
      <c r="B239" s="121" t="s">
        <v>330</v>
      </c>
      <c r="C239" s="122">
        <v>2819</v>
      </c>
      <c r="D239" s="115" t="s">
        <v>832</v>
      </c>
      <c r="E239" s="115" t="s">
        <v>895</v>
      </c>
      <c r="F239" s="139" t="s">
        <v>368</v>
      </c>
      <c r="G239" s="131" t="s">
        <v>332</v>
      </c>
      <c r="H239" s="123" t="s">
        <v>237</v>
      </c>
      <c r="I239" s="133" t="s">
        <v>316</v>
      </c>
      <c r="J239" s="123" t="s">
        <v>284</v>
      </c>
      <c r="K239" s="107" t="s">
        <v>349</v>
      </c>
      <c r="L239" s="424">
        <v>6.75</v>
      </c>
      <c r="M239" s="121" t="s">
        <v>229</v>
      </c>
    </row>
    <row r="240" spans="1:13">
      <c r="A240" s="120" t="s">
        <v>329</v>
      </c>
      <c r="B240" s="121" t="s">
        <v>330</v>
      </c>
      <c r="C240" s="122">
        <v>2820</v>
      </c>
      <c r="D240" s="115" t="s">
        <v>832</v>
      </c>
      <c r="E240" s="115" t="s">
        <v>895</v>
      </c>
      <c r="F240" s="139" t="s">
        <v>961</v>
      </c>
      <c r="G240" s="131" t="s">
        <v>332</v>
      </c>
      <c r="H240" s="123" t="s">
        <v>237</v>
      </c>
      <c r="I240" s="133" t="s">
        <v>316</v>
      </c>
      <c r="J240" s="123" t="s">
        <v>284</v>
      </c>
      <c r="K240" s="107" t="s">
        <v>349</v>
      </c>
      <c r="L240" s="424">
        <v>6.75</v>
      </c>
      <c r="M240" s="121" t="s">
        <v>229</v>
      </c>
    </row>
    <row r="241" spans="1:13">
      <c r="A241" s="120" t="s">
        <v>329</v>
      </c>
      <c r="B241" s="121" t="s">
        <v>330</v>
      </c>
      <c r="C241" s="122">
        <v>2821</v>
      </c>
      <c r="D241" s="115" t="s">
        <v>832</v>
      </c>
      <c r="E241" s="115" t="s">
        <v>895</v>
      </c>
      <c r="F241" s="139" t="s">
        <v>369</v>
      </c>
      <c r="G241" s="131" t="s">
        <v>332</v>
      </c>
      <c r="H241" s="123" t="s">
        <v>237</v>
      </c>
      <c r="I241" s="133" t="s">
        <v>316</v>
      </c>
      <c r="J241" s="123" t="s">
        <v>284</v>
      </c>
      <c r="K241" s="107" t="s">
        <v>349</v>
      </c>
      <c r="L241" s="424">
        <v>6.75</v>
      </c>
      <c r="M241" s="121" t="s">
        <v>229</v>
      </c>
    </row>
    <row r="242" spans="1:13">
      <c r="A242" s="120" t="s">
        <v>329</v>
      </c>
      <c r="B242" s="121" t="s">
        <v>330</v>
      </c>
      <c r="C242" s="122">
        <v>2822</v>
      </c>
      <c r="D242" s="115" t="s">
        <v>832</v>
      </c>
      <c r="E242" s="115" t="s">
        <v>895</v>
      </c>
      <c r="F242" s="139" t="s">
        <v>370</v>
      </c>
      <c r="G242" s="131" t="s">
        <v>332</v>
      </c>
      <c r="H242" s="123" t="s">
        <v>237</v>
      </c>
      <c r="I242" s="133" t="s">
        <v>316</v>
      </c>
      <c r="J242" s="123" t="s">
        <v>284</v>
      </c>
      <c r="K242" s="107" t="s">
        <v>349</v>
      </c>
      <c r="L242" s="424">
        <v>6.75</v>
      </c>
      <c r="M242" s="121" t="s">
        <v>229</v>
      </c>
    </row>
    <row r="243" spans="1:13">
      <c r="A243" s="120" t="s">
        <v>329</v>
      </c>
      <c r="B243" s="121" t="s">
        <v>330</v>
      </c>
      <c r="C243" s="122">
        <v>2823</v>
      </c>
      <c r="D243" s="115" t="s">
        <v>832</v>
      </c>
      <c r="E243" s="115" t="s">
        <v>895</v>
      </c>
      <c r="F243" s="139" t="s">
        <v>371</v>
      </c>
      <c r="G243" s="131" t="s">
        <v>332</v>
      </c>
      <c r="H243" s="123" t="s">
        <v>237</v>
      </c>
      <c r="I243" s="133" t="s">
        <v>316</v>
      </c>
      <c r="J243" s="123" t="s">
        <v>284</v>
      </c>
      <c r="K243" s="107" t="s">
        <v>349</v>
      </c>
      <c r="L243" s="424">
        <v>6.75</v>
      </c>
      <c r="M243" s="121" t="s">
        <v>229</v>
      </c>
    </row>
    <row r="244" spans="1:13">
      <c r="A244" s="120" t="s">
        <v>329</v>
      </c>
      <c r="B244" s="121" t="s">
        <v>330</v>
      </c>
      <c r="C244" s="122">
        <v>2824</v>
      </c>
      <c r="D244" s="115" t="s">
        <v>832</v>
      </c>
      <c r="E244" s="115" t="s">
        <v>895</v>
      </c>
      <c r="F244" s="139" t="s">
        <v>372</v>
      </c>
      <c r="G244" s="131" t="s">
        <v>332</v>
      </c>
      <c r="H244" s="123" t="s">
        <v>237</v>
      </c>
      <c r="I244" s="133" t="s">
        <v>316</v>
      </c>
      <c r="J244" s="123" t="s">
        <v>284</v>
      </c>
      <c r="K244" s="107" t="s">
        <v>349</v>
      </c>
      <c r="L244" s="424">
        <v>6.75</v>
      </c>
      <c r="M244" s="121" t="s">
        <v>229</v>
      </c>
    </row>
    <row r="245" spans="1:13">
      <c r="A245" s="120" t="s">
        <v>329</v>
      </c>
      <c r="B245" s="121" t="s">
        <v>330</v>
      </c>
      <c r="C245" s="122">
        <v>2830</v>
      </c>
      <c r="D245" s="115" t="s">
        <v>832</v>
      </c>
      <c r="E245" s="115" t="s">
        <v>895</v>
      </c>
      <c r="F245" s="139" t="s">
        <v>373</v>
      </c>
      <c r="G245" s="131" t="s">
        <v>332</v>
      </c>
      <c r="H245" s="123" t="s">
        <v>237</v>
      </c>
      <c r="I245" s="133" t="s">
        <v>316</v>
      </c>
      <c r="J245" s="123" t="s">
        <v>284</v>
      </c>
      <c r="K245" s="107" t="s">
        <v>349</v>
      </c>
      <c r="L245" s="424">
        <v>6.75</v>
      </c>
      <c r="M245" s="121" t="s">
        <v>229</v>
      </c>
    </row>
    <row r="246" spans="1:13">
      <c r="A246" s="120" t="s">
        <v>329</v>
      </c>
      <c r="B246" s="121" t="s">
        <v>330</v>
      </c>
      <c r="C246" s="122">
        <v>2850</v>
      </c>
      <c r="D246" s="115" t="s">
        <v>832</v>
      </c>
      <c r="E246" s="115" t="s">
        <v>895</v>
      </c>
      <c r="F246" s="139" t="s">
        <v>350</v>
      </c>
      <c r="G246" s="131" t="s">
        <v>332</v>
      </c>
      <c r="H246" s="123" t="s">
        <v>237</v>
      </c>
      <c r="I246" s="133" t="s">
        <v>316</v>
      </c>
      <c r="J246" s="123" t="s">
        <v>284</v>
      </c>
      <c r="K246" s="107" t="s">
        <v>349</v>
      </c>
      <c r="L246" s="424">
        <v>6.75</v>
      </c>
      <c r="M246" s="121" t="s">
        <v>229</v>
      </c>
    </row>
    <row r="247" spans="1:13">
      <c r="A247" s="120" t="s">
        <v>329</v>
      </c>
      <c r="B247" s="121" t="s">
        <v>330</v>
      </c>
      <c r="C247" s="122">
        <v>2852</v>
      </c>
      <c r="D247" s="115" t="s">
        <v>832</v>
      </c>
      <c r="E247" s="115" t="s">
        <v>895</v>
      </c>
      <c r="F247" s="139" t="s">
        <v>374</v>
      </c>
      <c r="G247" s="131" t="s">
        <v>332</v>
      </c>
      <c r="H247" s="123" t="s">
        <v>237</v>
      </c>
      <c r="I247" s="133" t="s">
        <v>316</v>
      </c>
      <c r="J247" s="123" t="s">
        <v>284</v>
      </c>
      <c r="K247" s="107" t="s">
        <v>349</v>
      </c>
      <c r="L247" s="424">
        <v>6.75</v>
      </c>
      <c r="M247" s="121" t="s">
        <v>229</v>
      </c>
    </row>
    <row r="248" spans="1:13">
      <c r="A248" s="120" t="s">
        <v>329</v>
      </c>
      <c r="B248" s="121" t="s">
        <v>330</v>
      </c>
      <c r="C248" s="122">
        <v>2853</v>
      </c>
      <c r="D248" s="115" t="s">
        <v>832</v>
      </c>
      <c r="E248" s="115" t="s">
        <v>895</v>
      </c>
      <c r="F248" s="139" t="s">
        <v>375</v>
      </c>
      <c r="G248" s="131" t="s">
        <v>332</v>
      </c>
      <c r="H248" s="123" t="s">
        <v>237</v>
      </c>
      <c r="I248" s="133" t="s">
        <v>316</v>
      </c>
      <c r="J248" s="123" t="s">
        <v>284</v>
      </c>
      <c r="K248" s="107" t="s">
        <v>349</v>
      </c>
      <c r="L248" s="424">
        <v>6.75</v>
      </c>
      <c r="M248" s="121" t="s">
        <v>229</v>
      </c>
    </row>
    <row r="249" spans="1:13">
      <c r="A249" s="120" t="s">
        <v>329</v>
      </c>
      <c r="B249" s="121" t="s">
        <v>330</v>
      </c>
      <c r="C249" s="122">
        <v>2854</v>
      </c>
      <c r="D249" s="115" t="s">
        <v>832</v>
      </c>
      <c r="E249" s="115" t="s">
        <v>895</v>
      </c>
      <c r="F249" s="124" t="s">
        <v>376</v>
      </c>
      <c r="G249" s="131" t="s">
        <v>332</v>
      </c>
      <c r="H249" s="123" t="s">
        <v>237</v>
      </c>
      <c r="I249" s="133" t="s">
        <v>316</v>
      </c>
      <c r="J249" s="123" t="s">
        <v>284</v>
      </c>
      <c r="K249" s="107" t="s">
        <v>349</v>
      </c>
      <c r="L249" s="424">
        <v>6.75</v>
      </c>
      <c r="M249" s="121" t="s">
        <v>229</v>
      </c>
    </row>
    <row r="250" spans="1:13">
      <c r="A250" s="120" t="s">
        <v>329</v>
      </c>
      <c r="B250" s="121" t="s">
        <v>330</v>
      </c>
      <c r="C250" s="122">
        <v>2855</v>
      </c>
      <c r="D250" s="115" t="s">
        <v>832</v>
      </c>
      <c r="E250" s="115" t="s">
        <v>895</v>
      </c>
      <c r="F250" s="139" t="s">
        <v>377</v>
      </c>
      <c r="G250" s="131" t="s">
        <v>332</v>
      </c>
      <c r="H250" s="123" t="s">
        <v>237</v>
      </c>
      <c r="I250" s="133" t="s">
        <v>316</v>
      </c>
      <c r="J250" s="123" t="s">
        <v>284</v>
      </c>
      <c r="K250" s="107" t="s">
        <v>349</v>
      </c>
      <c r="L250" s="424">
        <v>6.75</v>
      </c>
      <c r="M250" s="121" t="s">
        <v>229</v>
      </c>
    </row>
    <row r="251" spans="1:13">
      <c r="A251" s="120" t="s">
        <v>329</v>
      </c>
      <c r="B251" s="121" t="s">
        <v>330</v>
      </c>
      <c r="C251" s="122">
        <v>2856</v>
      </c>
      <c r="D251" s="115" t="s">
        <v>832</v>
      </c>
      <c r="E251" s="115" t="s">
        <v>895</v>
      </c>
      <c r="F251" s="139" t="s">
        <v>378</v>
      </c>
      <c r="G251" s="131" t="s">
        <v>332</v>
      </c>
      <c r="H251" s="123" t="s">
        <v>237</v>
      </c>
      <c r="I251" s="133" t="s">
        <v>316</v>
      </c>
      <c r="J251" s="123" t="s">
        <v>284</v>
      </c>
      <c r="K251" s="107" t="s">
        <v>349</v>
      </c>
      <c r="L251" s="424">
        <v>6.75</v>
      </c>
      <c r="M251" s="121" t="s">
        <v>229</v>
      </c>
    </row>
    <row r="252" spans="1:13">
      <c r="A252" s="120" t="s">
        <v>329</v>
      </c>
      <c r="B252" s="121" t="s">
        <v>330</v>
      </c>
      <c r="C252" s="122">
        <v>2857</v>
      </c>
      <c r="D252" s="115" t="s">
        <v>832</v>
      </c>
      <c r="E252" s="115" t="s">
        <v>895</v>
      </c>
      <c r="F252" s="139" t="s">
        <v>379</v>
      </c>
      <c r="G252" s="131" t="s">
        <v>332</v>
      </c>
      <c r="H252" s="123" t="s">
        <v>237</v>
      </c>
      <c r="I252" s="133" t="s">
        <v>316</v>
      </c>
      <c r="J252" s="123" t="s">
        <v>284</v>
      </c>
      <c r="K252" s="107" t="s">
        <v>349</v>
      </c>
      <c r="L252" s="424">
        <v>6.75</v>
      </c>
      <c r="M252" s="121" t="s">
        <v>229</v>
      </c>
    </row>
    <row r="253" spans="1:13">
      <c r="A253" s="120" t="s">
        <v>329</v>
      </c>
      <c r="B253" s="121" t="s">
        <v>330</v>
      </c>
      <c r="C253" s="122">
        <v>2858</v>
      </c>
      <c r="D253" s="115" t="s">
        <v>832</v>
      </c>
      <c r="E253" s="115" t="s">
        <v>895</v>
      </c>
      <c r="F253" s="139" t="s">
        <v>380</v>
      </c>
      <c r="G253" s="131" t="s">
        <v>332</v>
      </c>
      <c r="H253" s="123" t="s">
        <v>237</v>
      </c>
      <c r="I253" s="133" t="s">
        <v>316</v>
      </c>
      <c r="J253" s="123" t="s">
        <v>284</v>
      </c>
      <c r="K253" s="107" t="s">
        <v>349</v>
      </c>
      <c r="L253" s="424">
        <v>6.75</v>
      </c>
      <c r="M253" s="121" t="s">
        <v>229</v>
      </c>
    </row>
    <row r="254" spans="1:13">
      <c r="A254" s="120" t="s">
        <v>329</v>
      </c>
      <c r="B254" s="121" t="s">
        <v>330</v>
      </c>
      <c r="C254" s="122">
        <v>2863</v>
      </c>
      <c r="D254" s="115" t="s">
        <v>832</v>
      </c>
      <c r="E254" s="115" t="s">
        <v>895</v>
      </c>
      <c r="F254" s="139" t="s">
        <v>833</v>
      </c>
      <c r="G254" s="131" t="s">
        <v>332</v>
      </c>
      <c r="H254" s="123" t="s">
        <v>237</v>
      </c>
      <c r="I254" s="133" t="s">
        <v>316</v>
      </c>
      <c r="J254" s="123" t="s">
        <v>284</v>
      </c>
      <c r="K254" s="107" t="s">
        <v>349</v>
      </c>
      <c r="L254" s="424">
        <v>6.75</v>
      </c>
      <c r="M254" s="121" t="s">
        <v>229</v>
      </c>
    </row>
    <row r="255" spans="1:13">
      <c r="A255" s="120" t="s">
        <v>329</v>
      </c>
      <c r="B255" s="121" t="s">
        <v>330</v>
      </c>
      <c r="C255" s="122">
        <v>2860</v>
      </c>
      <c r="D255" s="115" t="s">
        <v>832</v>
      </c>
      <c r="E255" s="115" t="s">
        <v>895</v>
      </c>
      <c r="F255" s="139" t="s">
        <v>381</v>
      </c>
      <c r="G255" s="131" t="s">
        <v>332</v>
      </c>
      <c r="H255" s="123" t="s">
        <v>237</v>
      </c>
      <c r="I255" s="133" t="s">
        <v>316</v>
      </c>
      <c r="J255" s="123" t="s">
        <v>284</v>
      </c>
      <c r="K255" s="107" t="s">
        <v>349</v>
      </c>
      <c r="L255" s="424">
        <v>6.75</v>
      </c>
      <c r="M255" s="121" t="s">
        <v>229</v>
      </c>
    </row>
    <row r="256" spans="1:13">
      <c r="A256" s="120" t="s">
        <v>329</v>
      </c>
      <c r="B256" s="121" t="s">
        <v>330</v>
      </c>
      <c r="C256" s="122" t="s">
        <v>962</v>
      </c>
      <c r="D256" s="115" t="s">
        <v>832</v>
      </c>
      <c r="E256" s="115" t="s">
        <v>895</v>
      </c>
      <c r="F256" s="139" t="s">
        <v>963</v>
      </c>
      <c r="G256" s="127" t="s">
        <v>332</v>
      </c>
      <c r="H256" s="123" t="s">
        <v>237</v>
      </c>
      <c r="I256" s="127" t="s">
        <v>316</v>
      </c>
      <c r="J256" s="123" t="s">
        <v>284</v>
      </c>
      <c r="K256" s="107" t="s">
        <v>349</v>
      </c>
      <c r="L256" s="424">
        <v>6.75</v>
      </c>
      <c r="M256" s="121" t="s">
        <v>229</v>
      </c>
    </row>
    <row r="257" spans="1:13">
      <c r="A257" s="120" t="s">
        <v>329</v>
      </c>
      <c r="B257" s="121" t="s">
        <v>330</v>
      </c>
      <c r="C257" s="122" t="s">
        <v>964</v>
      </c>
      <c r="D257" s="115" t="s">
        <v>832</v>
      </c>
      <c r="E257" s="115" t="s">
        <v>895</v>
      </c>
      <c r="F257" s="139" t="s">
        <v>965</v>
      </c>
      <c r="G257" s="127" t="s">
        <v>332</v>
      </c>
      <c r="H257" s="123" t="s">
        <v>237</v>
      </c>
      <c r="I257" s="127" t="s">
        <v>316</v>
      </c>
      <c r="J257" s="123" t="s">
        <v>284</v>
      </c>
      <c r="K257" s="107" t="s">
        <v>349</v>
      </c>
      <c r="L257" s="424">
        <v>6.75</v>
      </c>
      <c r="M257" s="121" t="s">
        <v>229</v>
      </c>
    </row>
    <row r="258" spans="1:13">
      <c r="A258" s="120" t="s">
        <v>329</v>
      </c>
      <c r="B258" s="121" t="s">
        <v>330</v>
      </c>
      <c r="C258" s="122">
        <v>2090</v>
      </c>
      <c r="D258" s="115">
        <v>12200070</v>
      </c>
      <c r="E258" s="115" t="s">
        <v>895</v>
      </c>
      <c r="F258" s="139" t="s">
        <v>382</v>
      </c>
      <c r="G258" s="131" t="s">
        <v>383</v>
      </c>
      <c r="H258" s="123" t="s">
        <v>237</v>
      </c>
      <c r="I258" s="133" t="s">
        <v>283</v>
      </c>
      <c r="J258" s="123" t="s">
        <v>284</v>
      </c>
      <c r="K258" s="107" t="s">
        <v>384</v>
      </c>
      <c r="L258" s="424">
        <v>10.85</v>
      </c>
      <c r="M258" s="121" t="s">
        <v>966</v>
      </c>
    </row>
    <row r="259" spans="1:13">
      <c r="A259" s="120" t="s">
        <v>329</v>
      </c>
      <c r="B259" s="121" t="s">
        <v>330</v>
      </c>
      <c r="C259" s="122">
        <v>2091</v>
      </c>
      <c r="D259" s="115">
        <v>12200070</v>
      </c>
      <c r="E259" s="115" t="s">
        <v>895</v>
      </c>
      <c r="F259" s="139" t="s">
        <v>385</v>
      </c>
      <c r="G259" s="131" t="s">
        <v>383</v>
      </c>
      <c r="H259" s="123" t="s">
        <v>237</v>
      </c>
      <c r="I259" s="133" t="s">
        <v>283</v>
      </c>
      <c r="J259" s="123" t="s">
        <v>284</v>
      </c>
      <c r="K259" s="107" t="s">
        <v>384</v>
      </c>
      <c r="L259" s="424">
        <v>10.85</v>
      </c>
      <c r="M259" s="121" t="s">
        <v>966</v>
      </c>
    </row>
    <row r="260" spans="1:13">
      <c r="A260" s="120" t="s">
        <v>329</v>
      </c>
      <c r="B260" s="121" t="s">
        <v>330</v>
      </c>
      <c r="C260" s="122">
        <v>2092</v>
      </c>
      <c r="D260" s="115">
        <v>12200070</v>
      </c>
      <c r="E260" s="115" t="s">
        <v>895</v>
      </c>
      <c r="F260" s="139" t="s">
        <v>834</v>
      </c>
      <c r="G260" s="131" t="s">
        <v>383</v>
      </c>
      <c r="H260" s="123" t="s">
        <v>237</v>
      </c>
      <c r="I260" s="133" t="s">
        <v>283</v>
      </c>
      <c r="J260" s="123" t="s">
        <v>284</v>
      </c>
      <c r="K260" s="107" t="s">
        <v>384</v>
      </c>
      <c r="L260" s="424">
        <v>10.85</v>
      </c>
      <c r="M260" s="121" t="s">
        <v>966</v>
      </c>
    </row>
    <row r="261" spans="1:13">
      <c r="A261" s="120" t="s">
        <v>329</v>
      </c>
      <c r="B261" s="121" t="s">
        <v>330</v>
      </c>
      <c r="C261" s="122">
        <v>2096</v>
      </c>
      <c r="D261" s="115">
        <v>12200070</v>
      </c>
      <c r="E261" s="115" t="s">
        <v>895</v>
      </c>
      <c r="F261" s="139" t="s">
        <v>386</v>
      </c>
      <c r="G261" s="131" t="s">
        <v>383</v>
      </c>
      <c r="H261" s="123" t="s">
        <v>237</v>
      </c>
      <c r="I261" s="133" t="s">
        <v>283</v>
      </c>
      <c r="J261" s="123" t="s">
        <v>284</v>
      </c>
      <c r="K261" s="107" t="s">
        <v>384</v>
      </c>
      <c r="L261" s="424">
        <v>10.85</v>
      </c>
      <c r="M261" s="121" t="s">
        <v>966</v>
      </c>
    </row>
    <row r="262" spans="1:13">
      <c r="A262" s="120" t="s">
        <v>329</v>
      </c>
      <c r="B262" s="121" t="s">
        <v>330</v>
      </c>
      <c r="C262" s="122">
        <v>2095</v>
      </c>
      <c r="D262" s="115">
        <v>12200070</v>
      </c>
      <c r="E262" s="115" t="s">
        <v>895</v>
      </c>
      <c r="F262" s="139" t="s">
        <v>387</v>
      </c>
      <c r="G262" s="131" t="s">
        <v>383</v>
      </c>
      <c r="H262" s="123" t="s">
        <v>237</v>
      </c>
      <c r="I262" s="133" t="s">
        <v>283</v>
      </c>
      <c r="J262" s="123" t="s">
        <v>284</v>
      </c>
      <c r="K262" s="107" t="s">
        <v>384</v>
      </c>
      <c r="L262" s="424">
        <v>10.85</v>
      </c>
      <c r="M262" s="121" t="s">
        <v>966</v>
      </c>
    </row>
    <row r="263" spans="1:13">
      <c r="A263" s="120" t="s">
        <v>329</v>
      </c>
      <c r="B263" s="121" t="s">
        <v>330</v>
      </c>
      <c r="C263" s="122">
        <v>2097</v>
      </c>
      <c r="D263" s="115">
        <v>12200070</v>
      </c>
      <c r="E263" s="115" t="s">
        <v>895</v>
      </c>
      <c r="F263" s="139" t="s">
        <v>388</v>
      </c>
      <c r="G263" s="131" t="s">
        <v>383</v>
      </c>
      <c r="H263" s="123" t="s">
        <v>237</v>
      </c>
      <c r="I263" s="133" t="s">
        <v>283</v>
      </c>
      <c r="J263" s="123" t="s">
        <v>284</v>
      </c>
      <c r="K263" s="107" t="s">
        <v>384</v>
      </c>
      <c r="L263" s="424">
        <v>10.85</v>
      </c>
      <c r="M263" s="121" t="s">
        <v>966</v>
      </c>
    </row>
    <row r="264" spans="1:13">
      <c r="A264" s="120" t="s">
        <v>329</v>
      </c>
      <c r="B264" s="121" t="s">
        <v>330</v>
      </c>
      <c r="C264" s="122">
        <v>2580</v>
      </c>
      <c r="D264" s="115">
        <v>12280170</v>
      </c>
      <c r="E264" s="115" t="s">
        <v>895</v>
      </c>
      <c r="F264" s="139" t="s">
        <v>389</v>
      </c>
      <c r="G264" s="131" t="s">
        <v>383</v>
      </c>
      <c r="H264" s="123" t="s">
        <v>237</v>
      </c>
      <c r="I264" s="133" t="s">
        <v>316</v>
      </c>
      <c r="J264" s="123" t="s">
        <v>284</v>
      </c>
      <c r="K264" s="107" t="s">
        <v>390</v>
      </c>
      <c r="L264" s="424">
        <v>8.1999999999999993</v>
      </c>
      <c r="M264" s="121" t="s">
        <v>229</v>
      </c>
    </row>
    <row r="265" spans="1:13">
      <c r="A265" s="120" t="s">
        <v>329</v>
      </c>
      <c r="B265" s="121" t="s">
        <v>330</v>
      </c>
      <c r="C265" s="122">
        <v>2880</v>
      </c>
      <c r="D265" s="115">
        <v>12280170</v>
      </c>
      <c r="E265" s="115" t="s">
        <v>895</v>
      </c>
      <c r="F265" s="139" t="s">
        <v>391</v>
      </c>
      <c r="G265" s="131" t="s">
        <v>383</v>
      </c>
      <c r="H265" s="123" t="s">
        <v>237</v>
      </c>
      <c r="I265" s="133" t="s">
        <v>316</v>
      </c>
      <c r="J265" s="123" t="s">
        <v>284</v>
      </c>
      <c r="K265" s="107" t="s">
        <v>390</v>
      </c>
      <c r="L265" s="424">
        <v>8.1999999999999993</v>
      </c>
      <c r="M265" s="121" t="s">
        <v>229</v>
      </c>
    </row>
    <row r="266" spans="1:13">
      <c r="A266" s="120" t="s">
        <v>329</v>
      </c>
      <c r="B266" s="121" t="s">
        <v>330</v>
      </c>
      <c r="C266" s="122">
        <v>2881</v>
      </c>
      <c r="D266" s="115">
        <v>12280170</v>
      </c>
      <c r="E266" s="115" t="s">
        <v>895</v>
      </c>
      <c r="F266" s="139" t="s">
        <v>392</v>
      </c>
      <c r="G266" s="131" t="s">
        <v>383</v>
      </c>
      <c r="H266" s="123" t="s">
        <v>237</v>
      </c>
      <c r="I266" s="133" t="s">
        <v>316</v>
      </c>
      <c r="J266" s="123" t="s">
        <v>284</v>
      </c>
      <c r="K266" s="107" t="s">
        <v>390</v>
      </c>
      <c r="L266" s="424">
        <v>8.1999999999999993</v>
      </c>
      <c r="M266" s="121" t="s">
        <v>229</v>
      </c>
    </row>
    <row r="267" spans="1:13">
      <c r="A267" s="120" t="s">
        <v>329</v>
      </c>
      <c r="B267" s="121" t="s">
        <v>330</v>
      </c>
      <c r="C267" s="122">
        <v>2882</v>
      </c>
      <c r="D267" s="115">
        <v>12280170</v>
      </c>
      <c r="E267" s="115" t="s">
        <v>895</v>
      </c>
      <c r="F267" s="139" t="s">
        <v>393</v>
      </c>
      <c r="G267" s="131" t="s">
        <v>383</v>
      </c>
      <c r="H267" s="123" t="s">
        <v>237</v>
      </c>
      <c r="I267" s="133" t="s">
        <v>316</v>
      </c>
      <c r="J267" s="123" t="s">
        <v>284</v>
      </c>
      <c r="K267" s="107" t="s">
        <v>390</v>
      </c>
      <c r="L267" s="424">
        <v>8.1999999999999993</v>
      </c>
      <c r="M267" s="121" t="s">
        <v>229</v>
      </c>
    </row>
    <row r="268" spans="1:13">
      <c r="A268" s="120" t="s">
        <v>329</v>
      </c>
      <c r="B268" s="121" t="s">
        <v>330</v>
      </c>
      <c r="C268" s="122">
        <v>2883</v>
      </c>
      <c r="D268" s="115">
        <v>12280170</v>
      </c>
      <c r="E268" s="115" t="s">
        <v>895</v>
      </c>
      <c r="F268" s="139" t="s">
        <v>394</v>
      </c>
      <c r="G268" s="131" t="s">
        <v>383</v>
      </c>
      <c r="H268" s="123" t="s">
        <v>237</v>
      </c>
      <c r="I268" s="133" t="s">
        <v>316</v>
      </c>
      <c r="J268" s="123" t="s">
        <v>284</v>
      </c>
      <c r="K268" s="107" t="s">
        <v>390</v>
      </c>
      <c r="L268" s="424">
        <v>8.1999999999999993</v>
      </c>
      <c r="M268" s="121" t="s">
        <v>229</v>
      </c>
    </row>
    <row r="269" spans="1:13">
      <c r="A269" s="120" t="s">
        <v>329</v>
      </c>
      <c r="B269" s="121" t="s">
        <v>330</v>
      </c>
      <c r="C269" s="122">
        <v>2890</v>
      </c>
      <c r="D269" s="115">
        <v>12280170</v>
      </c>
      <c r="E269" s="115" t="s">
        <v>895</v>
      </c>
      <c r="F269" s="139" t="s">
        <v>395</v>
      </c>
      <c r="G269" s="131" t="s">
        <v>383</v>
      </c>
      <c r="H269" s="123" t="s">
        <v>237</v>
      </c>
      <c r="I269" s="133" t="s">
        <v>316</v>
      </c>
      <c r="J269" s="123" t="s">
        <v>284</v>
      </c>
      <c r="K269" s="107" t="s">
        <v>390</v>
      </c>
      <c r="L269" s="424">
        <v>8.1999999999999993</v>
      </c>
      <c r="M269" s="121" t="s">
        <v>229</v>
      </c>
    </row>
    <row r="270" spans="1:13">
      <c r="A270" s="120" t="s">
        <v>329</v>
      </c>
      <c r="B270" s="121" t="s">
        <v>330</v>
      </c>
      <c r="C270" s="122">
        <v>8060</v>
      </c>
      <c r="D270" s="115">
        <v>12200570</v>
      </c>
      <c r="E270" s="115" t="s">
        <v>895</v>
      </c>
      <c r="F270" s="139" t="s">
        <v>396</v>
      </c>
      <c r="G270" s="131" t="s">
        <v>397</v>
      </c>
      <c r="H270" s="123" t="s">
        <v>237</v>
      </c>
      <c r="I270" s="133" t="s">
        <v>283</v>
      </c>
      <c r="J270" s="123" t="s">
        <v>284</v>
      </c>
      <c r="K270" s="107" t="s">
        <v>398</v>
      </c>
      <c r="L270" s="424">
        <v>11.3</v>
      </c>
      <c r="M270" s="121" t="s">
        <v>229</v>
      </c>
    </row>
    <row r="271" spans="1:13">
      <c r="A271" s="120" t="s">
        <v>329</v>
      </c>
      <c r="B271" s="121" t="s">
        <v>330</v>
      </c>
      <c r="C271" s="122">
        <v>8065</v>
      </c>
      <c r="D271" s="115">
        <v>12200570</v>
      </c>
      <c r="E271" s="115" t="s">
        <v>895</v>
      </c>
      <c r="F271" s="139" t="s">
        <v>399</v>
      </c>
      <c r="G271" s="131" t="s">
        <v>397</v>
      </c>
      <c r="H271" s="123" t="s">
        <v>237</v>
      </c>
      <c r="I271" s="133" t="s">
        <v>283</v>
      </c>
      <c r="J271" s="123" t="s">
        <v>284</v>
      </c>
      <c r="K271" s="107" t="s">
        <v>398</v>
      </c>
      <c r="L271" s="424">
        <v>11.3</v>
      </c>
      <c r="M271" s="121" t="s">
        <v>229</v>
      </c>
    </row>
    <row r="272" spans="1:13">
      <c r="A272" s="120" t="s">
        <v>329</v>
      </c>
      <c r="B272" s="121" t="s">
        <v>330</v>
      </c>
      <c r="C272" s="122">
        <v>4801</v>
      </c>
      <c r="D272" s="115">
        <v>12480070</v>
      </c>
      <c r="E272" s="115" t="s">
        <v>895</v>
      </c>
      <c r="F272" s="139" t="s">
        <v>409</v>
      </c>
      <c r="G272" s="131" t="s">
        <v>939</v>
      </c>
      <c r="H272" s="123" t="s">
        <v>237</v>
      </c>
      <c r="I272" s="133" t="s">
        <v>316</v>
      </c>
      <c r="J272" s="123" t="s">
        <v>284</v>
      </c>
      <c r="K272" s="107" t="s">
        <v>410</v>
      </c>
      <c r="L272" s="424">
        <v>7.85</v>
      </c>
      <c r="M272" s="121" t="s">
        <v>229</v>
      </c>
    </row>
    <row r="273" spans="1:13">
      <c r="A273" s="120" t="s">
        <v>329</v>
      </c>
      <c r="B273" s="121" t="s">
        <v>330</v>
      </c>
      <c r="C273" s="122">
        <v>4802</v>
      </c>
      <c r="D273" s="115">
        <v>12480070</v>
      </c>
      <c r="E273" s="115" t="s">
        <v>895</v>
      </c>
      <c r="F273" s="139" t="s">
        <v>411</v>
      </c>
      <c r="G273" s="131" t="s">
        <v>939</v>
      </c>
      <c r="H273" s="123" t="s">
        <v>237</v>
      </c>
      <c r="I273" s="133" t="s">
        <v>316</v>
      </c>
      <c r="J273" s="123" t="s">
        <v>284</v>
      </c>
      <c r="K273" s="107" t="s">
        <v>410</v>
      </c>
      <c r="L273" s="424">
        <v>7.85</v>
      </c>
      <c r="M273" s="121" t="s">
        <v>229</v>
      </c>
    </row>
    <row r="274" spans="1:13">
      <c r="A274" s="120" t="s">
        <v>329</v>
      </c>
      <c r="B274" s="121" t="s">
        <v>330</v>
      </c>
      <c r="C274" s="122">
        <v>4803</v>
      </c>
      <c r="D274" s="115">
        <v>12480070</v>
      </c>
      <c r="E274" s="115" t="s">
        <v>895</v>
      </c>
      <c r="F274" s="139" t="s">
        <v>412</v>
      </c>
      <c r="G274" s="131" t="s">
        <v>939</v>
      </c>
      <c r="H274" s="123" t="s">
        <v>237</v>
      </c>
      <c r="I274" s="133" t="s">
        <v>316</v>
      </c>
      <c r="J274" s="123" t="s">
        <v>284</v>
      </c>
      <c r="K274" s="107" t="s">
        <v>410</v>
      </c>
      <c r="L274" s="424">
        <v>7.85</v>
      </c>
      <c r="M274" s="121" t="s">
        <v>229</v>
      </c>
    </row>
    <row r="275" spans="1:13">
      <c r="A275" s="120" t="s">
        <v>329</v>
      </c>
      <c r="B275" s="121" t="s">
        <v>330</v>
      </c>
      <c r="C275" s="122">
        <v>4810</v>
      </c>
      <c r="D275" s="115">
        <v>12480070</v>
      </c>
      <c r="E275" s="115" t="s">
        <v>895</v>
      </c>
      <c r="F275" s="139" t="s">
        <v>413</v>
      </c>
      <c r="G275" s="131" t="s">
        <v>939</v>
      </c>
      <c r="H275" s="123" t="s">
        <v>237</v>
      </c>
      <c r="I275" s="133" t="s">
        <v>316</v>
      </c>
      <c r="J275" s="123" t="s">
        <v>284</v>
      </c>
      <c r="K275" s="107" t="s">
        <v>410</v>
      </c>
      <c r="L275" s="424">
        <v>7.85</v>
      </c>
      <c r="M275" s="121" t="s">
        <v>229</v>
      </c>
    </row>
    <row r="276" spans="1:13">
      <c r="A276" s="120" t="s">
        <v>329</v>
      </c>
      <c r="B276" s="121" t="s">
        <v>330</v>
      </c>
      <c r="C276" s="122">
        <v>4813</v>
      </c>
      <c r="D276" s="115">
        <v>12480070</v>
      </c>
      <c r="E276" s="115" t="s">
        <v>895</v>
      </c>
      <c r="F276" s="139" t="s">
        <v>414</v>
      </c>
      <c r="G276" s="131" t="s">
        <v>939</v>
      </c>
      <c r="H276" s="123" t="s">
        <v>237</v>
      </c>
      <c r="I276" s="133" t="s">
        <v>316</v>
      </c>
      <c r="J276" s="123" t="s">
        <v>284</v>
      </c>
      <c r="K276" s="107" t="s">
        <v>410</v>
      </c>
      <c r="L276" s="424">
        <v>7.85</v>
      </c>
      <c r="M276" s="121" t="s">
        <v>229</v>
      </c>
    </row>
    <row r="277" spans="1:13">
      <c r="A277" s="120" t="s">
        <v>329</v>
      </c>
      <c r="B277" s="121" t="s">
        <v>330</v>
      </c>
      <c r="C277" s="122">
        <v>4720</v>
      </c>
      <c r="D277" s="115">
        <v>12470070</v>
      </c>
      <c r="E277" s="115" t="s">
        <v>895</v>
      </c>
      <c r="F277" s="139" t="s">
        <v>404</v>
      </c>
      <c r="G277" s="131" t="s">
        <v>405</v>
      </c>
      <c r="H277" s="123" t="s">
        <v>237</v>
      </c>
      <c r="I277" s="133" t="s">
        <v>285</v>
      </c>
      <c r="J277" s="123" t="s">
        <v>284</v>
      </c>
      <c r="K277" s="107" t="s">
        <v>406</v>
      </c>
      <c r="L277" s="424">
        <v>3.65</v>
      </c>
      <c r="M277" s="121" t="s">
        <v>229</v>
      </c>
    </row>
    <row r="278" spans="1:13">
      <c r="A278" s="120" t="s">
        <v>329</v>
      </c>
      <c r="B278" s="121" t="s">
        <v>330</v>
      </c>
      <c r="C278" s="122">
        <v>4705</v>
      </c>
      <c r="D278" s="115">
        <v>12470070</v>
      </c>
      <c r="E278" s="115" t="s">
        <v>895</v>
      </c>
      <c r="F278" s="139" t="s">
        <v>415</v>
      </c>
      <c r="G278" s="131" t="s">
        <v>405</v>
      </c>
      <c r="H278" s="123" t="s">
        <v>237</v>
      </c>
      <c r="I278" s="133" t="s">
        <v>285</v>
      </c>
      <c r="J278" s="123" t="s">
        <v>284</v>
      </c>
      <c r="K278" s="107" t="s">
        <v>406</v>
      </c>
      <c r="L278" s="424">
        <v>3.65</v>
      </c>
      <c r="M278" s="121" t="s">
        <v>229</v>
      </c>
    </row>
    <row r="279" spans="1:13">
      <c r="A279" s="120" t="s">
        <v>329</v>
      </c>
      <c r="B279" s="121" t="s">
        <v>330</v>
      </c>
      <c r="C279" s="122">
        <v>4706</v>
      </c>
      <c r="D279" s="115">
        <v>12470070</v>
      </c>
      <c r="E279" s="115" t="s">
        <v>895</v>
      </c>
      <c r="F279" s="139" t="s">
        <v>419</v>
      </c>
      <c r="G279" s="131" t="s">
        <v>405</v>
      </c>
      <c r="H279" s="123" t="s">
        <v>237</v>
      </c>
      <c r="I279" s="133" t="s">
        <v>285</v>
      </c>
      <c r="J279" s="123" t="s">
        <v>284</v>
      </c>
      <c r="K279" s="107" t="s">
        <v>406</v>
      </c>
      <c r="L279" s="424">
        <v>3.65</v>
      </c>
      <c r="M279" s="121" t="s">
        <v>229</v>
      </c>
    </row>
    <row r="280" spans="1:13">
      <c r="A280" s="120" t="s">
        <v>329</v>
      </c>
      <c r="B280" s="121" t="s">
        <v>330</v>
      </c>
      <c r="C280" s="122">
        <v>4702</v>
      </c>
      <c r="D280" s="115">
        <v>12470070</v>
      </c>
      <c r="E280" s="115" t="s">
        <v>895</v>
      </c>
      <c r="F280" s="139" t="s">
        <v>400</v>
      </c>
      <c r="G280" s="131" t="s">
        <v>401</v>
      </c>
      <c r="H280" s="123" t="s">
        <v>237</v>
      </c>
      <c r="I280" s="133" t="s">
        <v>285</v>
      </c>
      <c r="J280" s="123" t="s">
        <v>284</v>
      </c>
      <c r="K280" s="107" t="s">
        <v>402</v>
      </c>
      <c r="L280" s="424">
        <v>3.8</v>
      </c>
      <c r="M280" s="121" t="s">
        <v>229</v>
      </c>
    </row>
    <row r="281" spans="1:13">
      <c r="A281" s="120" t="s">
        <v>329</v>
      </c>
      <c r="B281" s="121" t="s">
        <v>330</v>
      </c>
      <c r="C281" s="122">
        <v>4709</v>
      </c>
      <c r="D281" s="115">
        <v>12470070</v>
      </c>
      <c r="E281" s="115" t="s">
        <v>895</v>
      </c>
      <c r="F281" s="139" t="s">
        <v>403</v>
      </c>
      <c r="G281" s="131" t="s">
        <v>401</v>
      </c>
      <c r="H281" s="123" t="s">
        <v>237</v>
      </c>
      <c r="I281" s="133" t="s">
        <v>285</v>
      </c>
      <c r="J281" s="123" t="s">
        <v>284</v>
      </c>
      <c r="K281" s="107" t="s">
        <v>402</v>
      </c>
      <c r="L281" s="424">
        <v>3.8</v>
      </c>
      <c r="M281" s="121" t="s">
        <v>229</v>
      </c>
    </row>
    <row r="282" spans="1:13">
      <c r="A282" s="120" t="s">
        <v>329</v>
      </c>
      <c r="B282" s="121" t="s">
        <v>330</v>
      </c>
      <c r="C282" s="122">
        <v>4711</v>
      </c>
      <c r="D282" s="115">
        <v>12470070</v>
      </c>
      <c r="E282" s="115" t="s">
        <v>895</v>
      </c>
      <c r="F282" s="139" t="s">
        <v>407</v>
      </c>
      <c r="G282" s="131" t="s">
        <v>401</v>
      </c>
      <c r="H282" s="123" t="s">
        <v>237</v>
      </c>
      <c r="I282" s="133" t="s">
        <v>285</v>
      </c>
      <c r="J282" s="123" t="s">
        <v>284</v>
      </c>
      <c r="K282" s="107" t="s">
        <v>402</v>
      </c>
      <c r="L282" s="424">
        <v>3.8</v>
      </c>
      <c r="M282" s="121" t="s">
        <v>229</v>
      </c>
    </row>
    <row r="283" spans="1:13">
      <c r="A283" s="120" t="s">
        <v>329</v>
      </c>
      <c r="B283" s="121" t="s">
        <v>330</v>
      </c>
      <c r="C283" s="122">
        <v>4703</v>
      </c>
      <c r="D283" s="115">
        <v>12470070</v>
      </c>
      <c r="E283" s="115" t="s">
        <v>895</v>
      </c>
      <c r="F283" s="139" t="s">
        <v>408</v>
      </c>
      <c r="G283" s="131" t="s">
        <v>401</v>
      </c>
      <c r="H283" s="123" t="s">
        <v>237</v>
      </c>
      <c r="I283" s="133" t="s">
        <v>285</v>
      </c>
      <c r="J283" s="123" t="s">
        <v>284</v>
      </c>
      <c r="K283" s="107" t="s">
        <v>402</v>
      </c>
      <c r="L283" s="424">
        <v>3.8</v>
      </c>
      <c r="M283" s="121" t="s">
        <v>229</v>
      </c>
    </row>
    <row r="284" spans="1:13">
      <c r="A284" s="120" t="s">
        <v>329</v>
      </c>
      <c r="B284" s="121" t="s">
        <v>330</v>
      </c>
      <c r="C284" s="122">
        <v>4704</v>
      </c>
      <c r="D284" s="115">
        <v>12470070</v>
      </c>
      <c r="E284" s="115" t="s">
        <v>895</v>
      </c>
      <c r="F284" s="139" t="s">
        <v>416</v>
      </c>
      <c r="G284" s="131" t="s">
        <v>401</v>
      </c>
      <c r="H284" s="123" t="s">
        <v>237</v>
      </c>
      <c r="I284" s="133" t="s">
        <v>285</v>
      </c>
      <c r="J284" s="123" t="s">
        <v>284</v>
      </c>
      <c r="K284" s="107" t="s">
        <v>402</v>
      </c>
      <c r="L284" s="424">
        <v>3.8</v>
      </c>
      <c r="M284" s="121" t="s">
        <v>229</v>
      </c>
    </row>
    <row r="285" spans="1:13">
      <c r="A285" s="120" t="s">
        <v>329</v>
      </c>
      <c r="B285" s="121" t="s">
        <v>330</v>
      </c>
      <c r="C285" s="122">
        <v>4701</v>
      </c>
      <c r="D285" s="115">
        <v>12470070</v>
      </c>
      <c r="E285" s="115" t="s">
        <v>895</v>
      </c>
      <c r="F285" s="139" t="s">
        <v>417</v>
      </c>
      <c r="G285" s="131" t="s">
        <v>401</v>
      </c>
      <c r="H285" s="123" t="s">
        <v>237</v>
      </c>
      <c r="I285" s="133" t="s">
        <v>285</v>
      </c>
      <c r="J285" s="123" t="s">
        <v>284</v>
      </c>
      <c r="K285" s="107" t="s">
        <v>402</v>
      </c>
      <c r="L285" s="424">
        <v>3.8</v>
      </c>
      <c r="M285" s="121" t="s">
        <v>229</v>
      </c>
    </row>
    <row r="286" spans="1:13">
      <c r="A286" s="120" t="s">
        <v>329</v>
      </c>
      <c r="B286" s="121" t="s">
        <v>330</v>
      </c>
      <c r="C286" s="122">
        <v>4721</v>
      </c>
      <c r="D286" s="115">
        <v>12470070</v>
      </c>
      <c r="E286" s="115" t="s">
        <v>895</v>
      </c>
      <c r="F286" s="139" t="s">
        <v>835</v>
      </c>
      <c r="G286" s="131" t="s">
        <v>939</v>
      </c>
      <c r="H286" s="123" t="s">
        <v>237</v>
      </c>
      <c r="I286" s="133" t="s">
        <v>285</v>
      </c>
      <c r="J286" s="123" t="s">
        <v>284</v>
      </c>
      <c r="K286" s="107" t="s">
        <v>418</v>
      </c>
      <c r="L286" s="424">
        <v>1.75</v>
      </c>
      <c r="M286" s="121" t="s">
        <v>229</v>
      </c>
    </row>
    <row r="287" spans="1:13">
      <c r="A287" s="120" t="s">
        <v>329</v>
      </c>
      <c r="B287" s="121" t="s">
        <v>330</v>
      </c>
      <c r="C287" s="122">
        <v>4707</v>
      </c>
      <c r="D287" s="115">
        <v>12470070</v>
      </c>
      <c r="E287" s="115" t="s">
        <v>895</v>
      </c>
      <c r="F287" s="139" t="s">
        <v>967</v>
      </c>
      <c r="G287" s="127" t="s">
        <v>401</v>
      </c>
      <c r="H287" s="123" t="s">
        <v>237</v>
      </c>
      <c r="I287" s="127" t="s">
        <v>285</v>
      </c>
      <c r="J287" s="123" t="s">
        <v>284</v>
      </c>
      <c r="K287" s="107" t="s">
        <v>402</v>
      </c>
      <c r="L287" s="424">
        <v>3.8</v>
      </c>
      <c r="M287" s="121" t="s">
        <v>229</v>
      </c>
    </row>
    <row r="288" spans="1:13">
      <c r="A288" s="120" t="s">
        <v>267</v>
      </c>
      <c r="B288" s="121" t="s">
        <v>268</v>
      </c>
      <c r="C288" s="122">
        <v>7172270</v>
      </c>
      <c r="D288" s="115">
        <v>7172270</v>
      </c>
      <c r="E288" s="115" t="s">
        <v>895</v>
      </c>
      <c r="F288" s="139" t="s">
        <v>269</v>
      </c>
      <c r="G288" s="131" t="s">
        <v>270</v>
      </c>
      <c r="H288" s="123" t="s">
        <v>271</v>
      </c>
      <c r="I288" s="133" t="s">
        <v>272</v>
      </c>
      <c r="J288" s="123" t="s">
        <v>227</v>
      </c>
      <c r="K288" s="107" t="s">
        <v>228</v>
      </c>
      <c r="L288" s="424">
        <v>2.7</v>
      </c>
      <c r="M288" s="121" t="s">
        <v>229</v>
      </c>
    </row>
    <row r="289" spans="1:13">
      <c r="A289" s="120" t="s">
        <v>836</v>
      </c>
      <c r="B289" s="121" t="s">
        <v>456</v>
      </c>
      <c r="C289" s="122">
        <v>2004</v>
      </c>
      <c r="D289" s="115">
        <v>12044075</v>
      </c>
      <c r="E289" s="115" t="s">
        <v>895</v>
      </c>
      <c r="F289" s="139" t="s">
        <v>460</v>
      </c>
      <c r="G289" s="131" t="s">
        <v>332</v>
      </c>
      <c r="H289" s="123" t="s">
        <v>237</v>
      </c>
      <c r="I289" s="133" t="s">
        <v>283</v>
      </c>
      <c r="J289" s="123" t="s">
        <v>284</v>
      </c>
      <c r="K289" s="107" t="s">
        <v>228</v>
      </c>
      <c r="L289" s="424">
        <v>10.85</v>
      </c>
      <c r="M289" s="121" t="s">
        <v>229</v>
      </c>
    </row>
    <row r="290" spans="1:13">
      <c r="A290" s="120" t="s">
        <v>836</v>
      </c>
      <c r="B290" s="121" t="s">
        <v>456</v>
      </c>
      <c r="C290" s="122">
        <v>2008</v>
      </c>
      <c r="D290" s="115">
        <v>12044075</v>
      </c>
      <c r="E290" s="115" t="s">
        <v>895</v>
      </c>
      <c r="F290" s="139" t="s">
        <v>461</v>
      </c>
      <c r="G290" s="131" t="s">
        <v>332</v>
      </c>
      <c r="H290" s="123" t="s">
        <v>237</v>
      </c>
      <c r="I290" s="133" t="s">
        <v>283</v>
      </c>
      <c r="J290" s="123" t="s">
        <v>284</v>
      </c>
      <c r="K290" s="107" t="s">
        <v>228</v>
      </c>
      <c r="L290" s="424">
        <v>10.85</v>
      </c>
      <c r="M290" s="121" t="s">
        <v>229</v>
      </c>
    </row>
    <row r="291" spans="1:13">
      <c r="A291" s="120" t="s">
        <v>836</v>
      </c>
      <c r="B291" s="121" t="s">
        <v>456</v>
      </c>
      <c r="C291" s="122" t="s">
        <v>968</v>
      </c>
      <c r="D291" s="115">
        <v>12044075</v>
      </c>
      <c r="E291" s="115" t="s">
        <v>895</v>
      </c>
      <c r="F291" s="139" t="s">
        <v>969</v>
      </c>
      <c r="G291" s="131" t="s">
        <v>332</v>
      </c>
      <c r="H291" s="123" t="s">
        <v>237</v>
      </c>
      <c r="I291" s="133" t="s">
        <v>283</v>
      </c>
      <c r="J291" s="123" t="s">
        <v>284</v>
      </c>
      <c r="K291" s="107" t="s">
        <v>228</v>
      </c>
      <c r="L291" s="424">
        <v>10.85</v>
      </c>
      <c r="M291" s="121" t="s">
        <v>229</v>
      </c>
    </row>
    <row r="292" spans="1:13">
      <c r="A292" s="120" t="s">
        <v>836</v>
      </c>
      <c r="B292" s="121" t="s">
        <v>456</v>
      </c>
      <c r="C292" s="122">
        <v>2010</v>
      </c>
      <c r="D292" s="115">
        <v>12044075</v>
      </c>
      <c r="E292" s="115" t="s">
        <v>895</v>
      </c>
      <c r="F292" s="139" t="s">
        <v>462</v>
      </c>
      <c r="G292" s="131" t="s">
        <v>332</v>
      </c>
      <c r="H292" s="123" t="s">
        <v>237</v>
      </c>
      <c r="I292" s="133" t="s">
        <v>283</v>
      </c>
      <c r="J292" s="123" t="s">
        <v>284</v>
      </c>
      <c r="K292" s="107" t="s">
        <v>228</v>
      </c>
      <c r="L292" s="424">
        <v>10.85</v>
      </c>
      <c r="M292" s="121" t="s">
        <v>229</v>
      </c>
    </row>
    <row r="293" spans="1:13">
      <c r="A293" s="120" t="s">
        <v>836</v>
      </c>
      <c r="B293" s="121" t="s">
        <v>456</v>
      </c>
      <c r="C293" s="122">
        <v>2012</v>
      </c>
      <c r="D293" s="115">
        <v>12044075</v>
      </c>
      <c r="E293" s="115" t="s">
        <v>895</v>
      </c>
      <c r="F293" s="139" t="s">
        <v>463</v>
      </c>
      <c r="G293" s="131" t="s">
        <v>332</v>
      </c>
      <c r="H293" s="123" t="s">
        <v>237</v>
      </c>
      <c r="I293" s="133" t="s">
        <v>283</v>
      </c>
      <c r="J293" s="123" t="s">
        <v>284</v>
      </c>
      <c r="K293" s="107" t="s">
        <v>228</v>
      </c>
      <c r="L293" s="424">
        <v>10.85</v>
      </c>
      <c r="M293" s="121" t="s">
        <v>229</v>
      </c>
    </row>
    <row r="294" spans="1:13">
      <c r="A294" s="120" t="s">
        <v>836</v>
      </c>
      <c r="B294" s="121" t="s">
        <v>456</v>
      </c>
      <c r="C294" s="122">
        <v>2013</v>
      </c>
      <c r="D294" s="115">
        <v>12044075</v>
      </c>
      <c r="E294" s="115" t="s">
        <v>895</v>
      </c>
      <c r="F294" s="139" t="s">
        <v>464</v>
      </c>
      <c r="G294" s="131" t="s">
        <v>332</v>
      </c>
      <c r="H294" s="123" t="s">
        <v>237</v>
      </c>
      <c r="I294" s="133" t="s">
        <v>283</v>
      </c>
      <c r="J294" s="123" t="s">
        <v>284</v>
      </c>
      <c r="K294" s="107" t="s">
        <v>228</v>
      </c>
      <c r="L294" s="424">
        <v>10.85</v>
      </c>
      <c r="M294" s="121" t="s">
        <v>229</v>
      </c>
    </row>
    <row r="295" spans="1:13">
      <c r="A295" s="120" t="s">
        <v>836</v>
      </c>
      <c r="B295" s="121" t="s">
        <v>456</v>
      </c>
      <c r="C295" s="122">
        <v>2015</v>
      </c>
      <c r="D295" s="115">
        <v>12044075</v>
      </c>
      <c r="E295" s="115" t="s">
        <v>895</v>
      </c>
      <c r="F295" s="139" t="s">
        <v>457</v>
      </c>
      <c r="G295" s="131" t="s">
        <v>332</v>
      </c>
      <c r="H295" s="123" t="s">
        <v>237</v>
      </c>
      <c r="I295" s="133" t="s">
        <v>283</v>
      </c>
      <c r="J295" s="123" t="s">
        <v>284</v>
      </c>
      <c r="K295" s="107" t="s">
        <v>228</v>
      </c>
      <c r="L295" s="424">
        <v>10.85</v>
      </c>
      <c r="M295" s="121" t="s">
        <v>229</v>
      </c>
    </row>
    <row r="296" spans="1:13">
      <c r="A296" s="120" t="s">
        <v>836</v>
      </c>
      <c r="B296" s="121" t="s">
        <v>456</v>
      </c>
      <c r="C296" s="122" t="s">
        <v>970</v>
      </c>
      <c r="D296" s="115">
        <v>12044075</v>
      </c>
      <c r="E296" s="115" t="s">
        <v>895</v>
      </c>
      <c r="F296" s="139" t="s">
        <v>971</v>
      </c>
      <c r="G296" s="131" t="s">
        <v>332</v>
      </c>
      <c r="H296" s="123" t="s">
        <v>237</v>
      </c>
      <c r="I296" s="133" t="s">
        <v>283</v>
      </c>
      <c r="J296" s="123" t="s">
        <v>284</v>
      </c>
      <c r="K296" s="107" t="s">
        <v>228</v>
      </c>
      <c r="L296" s="424">
        <v>10.85</v>
      </c>
      <c r="M296" s="121" t="s">
        <v>229</v>
      </c>
    </row>
    <row r="297" spans="1:13">
      <c r="A297" s="120" t="s">
        <v>836</v>
      </c>
      <c r="B297" s="121" t="s">
        <v>456</v>
      </c>
      <c r="C297" s="122">
        <v>2016</v>
      </c>
      <c r="D297" s="115">
        <v>12044075</v>
      </c>
      <c r="E297" s="115" t="s">
        <v>895</v>
      </c>
      <c r="F297" s="139" t="s">
        <v>458</v>
      </c>
      <c r="G297" s="131" t="s">
        <v>332</v>
      </c>
      <c r="H297" s="123" t="s">
        <v>237</v>
      </c>
      <c r="I297" s="133" t="s">
        <v>283</v>
      </c>
      <c r="J297" s="123" t="s">
        <v>284</v>
      </c>
      <c r="K297" s="107" t="s">
        <v>228</v>
      </c>
      <c r="L297" s="424">
        <v>10.85</v>
      </c>
      <c r="M297" s="121" t="s">
        <v>229</v>
      </c>
    </row>
    <row r="298" spans="1:13">
      <c r="A298" s="120" t="s">
        <v>836</v>
      </c>
      <c r="B298" s="121" t="s">
        <v>456</v>
      </c>
      <c r="C298" s="122" t="s">
        <v>972</v>
      </c>
      <c r="D298" s="115">
        <v>12044075</v>
      </c>
      <c r="E298" s="115" t="s">
        <v>895</v>
      </c>
      <c r="F298" s="139" t="s">
        <v>973</v>
      </c>
      <c r="G298" s="131" t="s">
        <v>332</v>
      </c>
      <c r="H298" s="123" t="s">
        <v>237</v>
      </c>
      <c r="I298" s="133" t="s">
        <v>283</v>
      </c>
      <c r="J298" s="123" t="s">
        <v>284</v>
      </c>
      <c r="K298" s="107" t="s">
        <v>228</v>
      </c>
      <c r="L298" s="424">
        <v>10.85</v>
      </c>
      <c r="M298" s="121" t="s">
        <v>229</v>
      </c>
    </row>
    <row r="299" spans="1:13">
      <c r="A299" s="120" t="s">
        <v>836</v>
      </c>
      <c r="B299" s="121" t="s">
        <v>456</v>
      </c>
      <c r="C299" s="122">
        <v>2019</v>
      </c>
      <c r="D299" s="115">
        <v>12044075</v>
      </c>
      <c r="E299" s="115" t="s">
        <v>895</v>
      </c>
      <c r="F299" s="139" t="s">
        <v>465</v>
      </c>
      <c r="G299" s="131" t="s">
        <v>332</v>
      </c>
      <c r="H299" s="123" t="s">
        <v>237</v>
      </c>
      <c r="I299" s="133" t="s">
        <v>283</v>
      </c>
      <c r="J299" s="123" t="s">
        <v>284</v>
      </c>
      <c r="K299" s="107" t="s">
        <v>228</v>
      </c>
      <c r="L299" s="424">
        <v>10.85</v>
      </c>
      <c r="M299" s="121" t="s">
        <v>229</v>
      </c>
    </row>
    <row r="300" spans="1:13">
      <c r="A300" s="120" t="s">
        <v>836</v>
      </c>
      <c r="B300" s="121" t="s">
        <v>456</v>
      </c>
      <c r="C300" s="122">
        <v>2042</v>
      </c>
      <c r="D300" s="115">
        <v>12044075</v>
      </c>
      <c r="E300" s="115" t="s">
        <v>895</v>
      </c>
      <c r="F300" s="139" t="s">
        <v>466</v>
      </c>
      <c r="G300" s="131" t="s">
        <v>332</v>
      </c>
      <c r="H300" s="123" t="s">
        <v>237</v>
      </c>
      <c r="I300" s="133" t="s">
        <v>283</v>
      </c>
      <c r="J300" s="123" t="s">
        <v>284</v>
      </c>
      <c r="K300" s="107" t="s">
        <v>228</v>
      </c>
      <c r="L300" s="424">
        <v>10.85</v>
      </c>
      <c r="M300" s="121" t="s">
        <v>229</v>
      </c>
    </row>
    <row r="301" spans="1:13">
      <c r="A301" s="120" t="s">
        <v>836</v>
      </c>
      <c r="B301" s="121" t="s">
        <v>456</v>
      </c>
      <c r="C301" s="122">
        <v>2043</v>
      </c>
      <c r="D301" s="115">
        <v>12044075</v>
      </c>
      <c r="E301" s="115" t="s">
        <v>895</v>
      </c>
      <c r="F301" s="139" t="s">
        <v>467</v>
      </c>
      <c r="G301" s="131" t="s">
        <v>332</v>
      </c>
      <c r="H301" s="123" t="s">
        <v>237</v>
      </c>
      <c r="I301" s="133" t="s">
        <v>283</v>
      </c>
      <c r="J301" s="123" t="s">
        <v>284</v>
      </c>
      <c r="K301" s="107" t="s">
        <v>228</v>
      </c>
      <c r="L301" s="424">
        <v>10.85</v>
      </c>
      <c r="M301" s="121" t="s">
        <v>229</v>
      </c>
    </row>
    <row r="302" spans="1:13">
      <c r="A302" s="120" t="s">
        <v>836</v>
      </c>
      <c r="B302" s="121" t="s">
        <v>456</v>
      </c>
      <c r="C302" s="122">
        <v>2045</v>
      </c>
      <c r="D302" s="115">
        <v>12044075</v>
      </c>
      <c r="E302" s="115" t="s">
        <v>895</v>
      </c>
      <c r="F302" s="139" t="s">
        <v>468</v>
      </c>
      <c r="G302" s="131" t="s">
        <v>332</v>
      </c>
      <c r="H302" s="123" t="s">
        <v>237</v>
      </c>
      <c r="I302" s="133" t="s">
        <v>283</v>
      </c>
      <c r="J302" s="123" t="s">
        <v>284</v>
      </c>
      <c r="K302" s="107" t="s">
        <v>228</v>
      </c>
      <c r="L302" s="424">
        <v>10.85</v>
      </c>
      <c r="M302" s="121" t="s">
        <v>229</v>
      </c>
    </row>
    <row r="303" spans="1:13">
      <c r="A303" s="120" t="s">
        <v>836</v>
      </c>
      <c r="B303" s="121" t="s">
        <v>456</v>
      </c>
      <c r="C303" s="122">
        <v>2047</v>
      </c>
      <c r="D303" s="115">
        <v>12044075</v>
      </c>
      <c r="E303" s="115" t="s">
        <v>895</v>
      </c>
      <c r="F303" s="139" t="s">
        <v>459</v>
      </c>
      <c r="G303" s="131" t="s">
        <v>332</v>
      </c>
      <c r="H303" s="123" t="s">
        <v>237</v>
      </c>
      <c r="I303" s="133" t="s">
        <v>283</v>
      </c>
      <c r="J303" s="123" t="s">
        <v>284</v>
      </c>
      <c r="K303" s="107" t="s">
        <v>228</v>
      </c>
      <c r="L303" s="424">
        <v>10.85</v>
      </c>
      <c r="M303" s="121" t="s">
        <v>229</v>
      </c>
    </row>
    <row r="304" spans="1:13">
      <c r="A304" s="120" t="s">
        <v>836</v>
      </c>
      <c r="B304" s="121" t="s">
        <v>456</v>
      </c>
      <c r="C304" s="122">
        <v>2048</v>
      </c>
      <c r="D304" s="115">
        <v>12044075</v>
      </c>
      <c r="E304" s="115" t="s">
        <v>895</v>
      </c>
      <c r="F304" s="139" t="s">
        <v>469</v>
      </c>
      <c r="G304" s="131" t="s">
        <v>332</v>
      </c>
      <c r="H304" s="123" t="s">
        <v>237</v>
      </c>
      <c r="I304" s="133" t="s">
        <v>283</v>
      </c>
      <c r="J304" s="123" t="s">
        <v>284</v>
      </c>
      <c r="K304" s="107" t="s">
        <v>228</v>
      </c>
      <c r="L304" s="424">
        <v>10.85</v>
      </c>
      <c r="M304" s="121" t="s">
        <v>229</v>
      </c>
    </row>
    <row r="305" spans="1:13">
      <c r="A305" s="120" t="s">
        <v>836</v>
      </c>
      <c r="B305" s="121" t="s">
        <v>456</v>
      </c>
      <c r="C305" s="122">
        <v>2049</v>
      </c>
      <c r="D305" s="115">
        <v>12044075</v>
      </c>
      <c r="E305" s="115" t="s">
        <v>895</v>
      </c>
      <c r="F305" s="139" t="s">
        <v>470</v>
      </c>
      <c r="G305" s="131" t="s">
        <v>332</v>
      </c>
      <c r="H305" s="123" t="s">
        <v>237</v>
      </c>
      <c r="I305" s="133" t="s">
        <v>283</v>
      </c>
      <c r="J305" s="123" t="s">
        <v>284</v>
      </c>
      <c r="K305" s="107" t="s">
        <v>228</v>
      </c>
      <c r="L305" s="424">
        <v>10.85</v>
      </c>
      <c r="M305" s="121" t="s">
        <v>229</v>
      </c>
    </row>
    <row r="306" spans="1:13">
      <c r="A306" s="120" t="s">
        <v>836</v>
      </c>
      <c r="B306" s="121" t="s">
        <v>456</v>
      </c>
      <c r="C306" s="122" t="s">
        <v>974</v>
      </c>
      <c r="D306" s="115">
        <v>12044075</v>
      </c>
      <c r="E306" s="115" t="s">
        <v>895</v>
      </c>
      <c r="F306" s="139" t="s">
        <v>975</v>
      </c>
      <c r="G306" s="131" t="s">
        <v>332</v>
      </c>
      <c r="H306" s="123" t="s">
        <v>237</v>
      </c>
      <c r="I306" s="133" t="s">
        <v>283</v>
      </c>
      <c r="J306" s="123" t="s">
        <v>284</v>
      </c>
      <c r="K306" s="107" t="s">
        <v>228</v>
      </c>
      <c r="L306" s="424">
        <v>10.85</v>
      </c>
      <c r="M306" s="446" t="s">
        <v>229</v>
      </c>
    </row>
    <row r="307" spans="1:13">
      <c r="A307" s="120" t="s">
        <v>836</v>
      </c>
      <c r="B307" s="121" t="s">
        <v>456</v>
      </c>
      <c r="C307" s="122">
        <v>2061</v>
      </c>
      <c r="D307" s="115">
        <v>12044075</v>
      </c>
      <c r="E307" s="115" t="s">
        <v>895</v>
      </c>
      <c r="F307" s="139" t="s">
        <v>471</v>
      </c>
      <c r="G307" s="131" t="s">
        <v>332</v>
      </c>
      <c r="H307" s="123" t="s">
        <v>237</v>
      </c>
      <c r="I307" s="133" t="s">
        <v>283</v>
      </c>
      <c r="J307" s="123" t="s">
        <v>284</v>
      </c>
      <c r="K307" s="107" t="s">
        <v>228</v>
      </c>
      <c r="L307" s="424">
        <v>10.85</v>
      </c>
      <c r="M307" s="121" t="s">
        <v>229</v>
      </c>
    </row>
    <row r="308" spans="1:13">
      <c r="A308" s="120" t="s">
        <v>836</v>
      </c>
      <c r="B308" s="121" t="s">
        <v>456</v>
      </c>
      <c r="C308" s="122">
        <v>2062</v>
      </c>
      <c r="D308" s="115">
        <v>12044075</v>
      </c>
      <c r="E308" s="115" t="s">
        <v>895</v>
      </c>
      <c r="F308" s="139" t="s">
        <v>472</v>
      </c>
      <c r="G308" s="131" t="s">
        <v>332</v>
      </c>
      <c r="H308" s="123" t="s">
        <v>237</v>
      </c>
      <c r="I308" s="133" t="s">
        <v>283</v>
      </c>
      <c r="J308" s="123" t="s">
        <v>284</v>
      </c>
      <c r="K308" s="107" t="s">
        <v>228</v>
      </c>
      <c r="L308" s="424">
        <v>10.85</v>
      </c>
      <c r="M308" s="121" t="s">
        <v>229</v>
      </c>
    </row>
    <row r="309" spans="1:13">
      <c r="A309" s="120" t="s">
        <v>836</v>
      </c>
      <c r="B309" s="121" t="s">
        <v>456</v>
      </c>
      <c r="C309" s="122">
        <v>2064</v>
      </c>
      <c r="D309" s="115">
        <v>12044075</v>
      </c>
      <c r="E309" s="115" t="s">
        <v>895</v>
      </c>
      <c r="F309" s="139" t="s">
        <v>473</v>
      </c>
      <c r="G309" s="131" t="s">
        <v>332</v>
      </c>
      <c r="H309" s="123" t="s">
        <v>237</v>
      </c>
      <c r="I309" s="133" t="s">
        <v>283</v>
      </c>
      <c r="J309" s="123" t="s">
        <v>284</v>
      </c>
      <c r="K309" s="107" t="s">
        <v>228</v>
      </c>
      <c r="L309" s="424">
        <v>10.85</v>
      </c>
      <c r="M309" s="121" t="s">
        <v>229</v>
      </c>
    </row>
    <row r="310" spans="1:13">
      <c r="A310" s="120" t="s">
        <v>836</v>
      </c>
      <c r="B310" s="121" t="s">
        <v>456</v>
      </c>
      <c r="C310" s="122">
        <v>2065</v>
      </c>
      <c r="D310" s="115">
        <v>12044075</v>
      </c>
      <c r="E310" s="115" t="s">
        <v>895</v>
      </c>
      <c r="F310" s="139" t="s">
        <v>474</v>
      </c>
      <c r="G310" s="131" t="s">
        <v>332</v>
      </c>
      <c r="H310" s="123" t="s">
        <v>237</v>
      </c>
      <c r="I310" s="133" t="s">
        <v>283</v>
      </c>
      <c r="J310" s="123" t="s">
        <v>284</v>
      </c>
      <c r="K310" s="107" t="s">
        <v>228</v>
      </c>
      <c r="L310" s="424">
        <v>10.85</v>
      </c>
      <c r="M310" s="121" t="s">
        <v>229</v>
      </c>
    </row>
    <row r="311" spans="1:13">
      <c r="A311" s="120" t="s">
        <v>836</v>
      </c>
      <c r="B311" s="121" t="s">
        <v>456</v>
      </c>
      <c r="C311" s="122">
        <v>2066</v>
      </c>
      <c r="D311" s="115">
        <v>12044075</v>
      </c>
      <c r="E311" s="115" t="s">
        <v>895</v>
      </c>
      <c r="F311" s="139" t="s">
        <v>475</v>
      </c>
      <c r="G311" s="131" t="s">
        <v>332</v>
      </c>
      <c r="H311" s="123" t="s">
        <v>237</v>
      </c>
      <c r="I311" s="133" t="s">
        <v>283</v>
      </c>
      <c r="J311" s="123" t="s">
        <v>284</v>
      </c>
      <c r="K311" s="107" t="s">
        <v>228</v>
      </c>
      <c r="L311" s="424">
        <v>10.85</v>
      </c>
      <c r="M311" s="121" t="s">
        <v>229</v>
      </c>
    </row>
    <row r="312" spans="1:13">
      <c r="A312" s="120" t="s">
        <v>836</v>
      </c>
      <c r="B312" s="121" t="s">
        <v>456</v>
      </c>
      <c r="C312" s="122" t="s">
        <v>976</v>
      </c>
      <c r="D312" s="115">
        <v>12044075</v>
      </c>
      <c r="E312" s="115" t="s">
        <v>895</v>
      </c>
      <c r="F312" s="139" t="s">
        <v>977</v>
      </c>
      <c r="G312" s="131" t="s">
        <v>332</v>
      </c>
      <c r="H312" s="123" t="s">
        <v>237</v>
      </c>
      <c r="I312" s="133" t="s">
        <v>283</v>
      </c>
      <c r="J312" s="123" t="s">
        <v>284</v>
      </c>
      <c r="K312" s="107" t="s">
        <v>228</v>
      </c>
      <c r="L312" s="424">
        <v>10.85</v>
      </c>
      <c r="M312" s="121" t="s">
        <v>229</v>
      </c>
    </row>
    <row r="313" spans="1:13">
      <c r="A313" s="120" t="s">
        <v>836</v>
      </c>
      <c r="B313" s="121" t="s">
        <v>456</v>
      </c>
      <c r="C313" s="122">
        <v>2067</v>
      </c>
      <c r="D313" s="115">
        <v>12044075</v>
      </c>
      <c r="E313" s="115" t="s">
        <v>895</v>
      </c>
      <c r="F313" s="139" t="s">
        <v>978</v>
      </c>
      <c r="G313" s="131" t="s">
        <v>332</v>
      </c>
      <c r="H313" s="123" t="s">
        <v>237</v>
      </c>
      <c r="I313" s="133" t="s">
        <v>283</v>
      </c>
      <c r="J313" s="123" t="s">
        <v>284</v>
      </c>
      <c r="K313" s="107" t="s">
        <v>228</v>
      </c>
      <c r="L313" s="424">
        <v>10.85</v>
      </c>
      <c r="M313" s="121" t="s">
        <v>229</v>
      </c>
    </row>
    <row r="314" spans="1:13">
      <c r="A314" s="120" t="s">
        <v>836</v>
      </c>
      <c r="B314" s="121" t="s">
        <v>456</v>
      </c>
      <c r="C314" s="122">
        <v>2068</v>
      </c>
      <c r="D314" s="115">
        <v>12044075</v>
      </c>
      <c r="E314" s="115" t="s">
        <v>895</v>
      </c>
      <c r="F314" s="139" t="s">
        <v>476</v>
      </c>
      <c r="G314" s="131" t="s">
        <v>332</v>
      </c>
      <c r="H314" s="123" t="s">
        <v>237</v>
      </c>
      <c r="I314" s="133" t="s">
        <v>283</v>
      </c>
      <c r="J314" s="123" t="s">
        <v>284</v>
      </c>
      <c r="K314" s="107" t="s">
        <v>228</v>
      </c>
      <c r="L314" s="424">
        <v>10.85</v>
      </c>
      <c r="M314" s="121" t="s">
        <v>229</v>
      </c>
    </row>
    <row r="315" spans="1:13">
      <c r="A315" s="120" t="s">
        <v>836</v>
      </c>
      <c r="B315" s="121" t="s">
        <v>456</v>
      </c>
      <c r="C315" s="122">
        <v>2069</v>
      </c>
      <c r="D315" s="115">
        <v>12044075</v>
      </c>
      <c r="E315" s="115" t="s">
        <v>895</v>
      </c>
      <c r="F315" s="139" t="s">
        <v>477</v>
      </c>
      <c r="G315" s="131" t="s">
        <v>332</v>
      </c>
      <c r="H315" s="123" t="s">
        <v>237</v>
      </c>
      <c r="I315" s="133" t="s">
        <v>283</v>
      </c>
      <c r="J315" s="123" t="s">
        <v>284</v>
      </c>
      <c r="K315" s="107" t="s">
        <v>228</v>
      </c>
      <c r="L315" s="424">
        <v>10.85</v>
      </c>
      <c r="M315" s="121" t="s">
        <v>229</v>
      </c>
    </row>
    <row r="316" spans="1:13">
      <c r="A316" s="120" t="s">
        <v>836</v>
      </c>
      <c r="B316" s="121" t="s">
        <v>456</v>
      </c>
      <c r="C316" s="122" t="s">
        <v>979</v>
      </c>
      <c r="D316" s="115">
        <v>12044075</v>
      </c>
      <c r="E316" s="115" t="s">
        <v>895</v>
      </c>
      <c r="F316" s="139" t="s">
        <v>980</v>
      </c>
      <c r="G316" s="131" t="s">
        <v>332</v>
      </c>
      <c r="H316" s="123" t="s">
        <v>237</v>
      </c>
      <c r="I316" s="133" t="s">
        <v>283</v>
      </c>
      <c r="J316" s="123" t="s">
        <v>284</v>
      </c>
      <c r="K316" s="107" t="s">
        <v>228</v>
      </c>
      <c r="L316" s="424">
        <v>10.85</v>
      </c>
      <c r="M316" s="121" t="s">
        <v>229</v>
      </c>
    </row>
    <row r="317" spans="1:13">
      <c r="A317" s="120" t="s">
        <v>836</v>
      </c>
      <c r="B317" s="121" t="s">
        <v>456</v>
      </c>
      <c r="C317" s="122">
        <v>2302</v>
      </c>
      <c r="D317" s="115">
        <v>12044075</v>
      </c>
      <c r="E317" s="115" t="s">
        <v>895</v>
      </c>
      <c r="F317" s="139" t="s">
        <v>478</v>
      </c>
      <c r="G317" s="131" t="s">
        <v>332</v>
      </c>
      <c r="H317" s="123" t="s">
        <v>237</v>
      </c>
      <c r="I317" s="133" t="s">
        <v>283</v>
      </c>
      <c r="J317" s="123" t="s">
        <v>284</v>
      </c>
      <c r="K317" s="107" t="s">
        <v>228</v>
      </c>
      <c r="L317" s="424">
        <v>10.85</v>
      </c>
      <c r="M317" s="121" t="s">
        <v>229</v>
      </c>
    </row>
    <row r="318" spans="1:13">
      <c r="A318" s="120" t="s">
        <v>836</v>
      </c>
      <c r="B318" s="121" t="s">
        <v>456</v>
      </c>
      <c r="C318" s="122">
        <v>2303</v>
      </c>
      <c r="D318" s="115">
        <v>12044075</v>
      </c>
      <c r="E318" s="115" t="s">
        <v>895</v>
      </c>
      <c r="F318" s="139" t="s">
        <v>479</v>
      </c>
      <c r="G318" s="131" t="s">
        <v>332</v>
      </c>
      <c r="H318" s="123" t="s">
        <v>237</v>
      </c>
      <c r="I318" s="133" t="s">
        <v>283</v>
      </c>
      <c r="J318" s="123" t="s">
        <v>284</v>
      </c>
      <c r="K318" s="107" t="s">
        <v>228</v>
      </c>
      <c r="L318" s="424">
        <v>10.85</v>
      </c>
      <c r="M318" s="121" t="s">
        <v>229</v>
      </c>
    </row>
    <row r="319" spans="1:13">
      <c r="A319" s="120" t="s">
        <v>836</v>
      </c>
      <c r="B319" s="121" t="s">
        <v>456</v>
      </c>
      <c r="C319" s="122">
        <v>2305</v>
      </c>
      <c r="D319" s="115">
        <v>12044075</v>
      </c>
      <c r="E319" s="115" t="s">
        <v>895</v>
      </c>
      <c r="F319" s="139" t="s">
        <v>480</v>
      </c>
      <c r="G319" s="131" t="s">
        <v>332</v>
      </c>
      <c r="H319" s="123" t="s">
        <v>237</v>
      </c>
      <c r="I319" s="133" t="s">
        <v>283</v>
      </c>
      <c r="J319" s="123" t="s">
        <v>284</v>
      </c>
      <c r="K319" s="107" t="s">
        <v>228</v>
      </c>
      <c r="L319" s="424">
        <v>10.85</v>
      </c>
      <c r="M319" s="121" t="s">
        <v>229</v>
      </c>
    </row>
    <row r="320" spans="1:13">
      <c r="A320" s="120" t="s">
        <v>836</v>
      </c>
      <c r="B320" s="121" t="s">
        <v>456</v>
      </c>
      <c r="C320" s="122">
        <v>2320</v>
      </c>
      <c r="D320" s="115">
        <v>12044075</v>
      </c>
      <c r="E320" s="115" t="s">
        <v>895</v>
      </c>
      <c r="F320" s="139" t="s">
        <v>481</v>
      </c>
      <c r="G320" s="131" t="s">
        <v>332</v>
      </c>
      <c r="H320" s="123" t="s">
        <v>237</v>
      </c>
      <c r="I320" s="133" t="s">
        <v>283</v>
      </c>
      <c r="J320" s="123" t="s">
        <v>284</v>
      </c>
      <c r="K320" s="107" t="s">
        <v>228</v>
      </c>
      <c r="L320" s="424">
        <v>10.85</v>
      </c>
      <c r="M320" s="121" t="s">
        <v>229</v>
      </c>
    </row>
    <row r="321" spans="1:13">
      <c r="A321" s="120" t="s">
        <v>836</v>
      </c>
      <c r="B321" s="121" t="s">
        <v>456</v>
      </c>
      <c r="C321" s="122" t="s">
        <v>981</v>
      </c>
      <c r="D321" s="115">
        <v>12044075</v>
      </c>
      <c r="E321" s="115" t="s">
        <v>895</v>
      </c>
      <c r="F321" s="139" t="s">
        <v>982</v>
      </c>
      <c r="G321" s="131" t="s">
        <v>332</v>
      </c>
      <c r="H321" s="123" t="s">
        <v>237</v>
      </c>
      <c r="I321" s="133" t="s">
        <v>283</v>
      </c>
      <c r="J321" s="123" t="s">
        <v>284</v>
      </c>
      <c r="K321" s="107" t="s">
        <v>228</v>
      </c>
      <c r="L321" s="424">
        <v>10.85</v>
      </c>
      <c r="M321" s="121" t="s">
        <v>229</v>
      </c>
    </row>
    <row r="322" spans="1:13">
      <c r="A322" s="120" t="s">
        <v>836</v>
      </c>
      <c r="B322" s="121" t="s">
        <v>456</v>
      </c>
      <c r="C322" s="122">
        <v>2321</v>
      </c>
      <c r="D322" s="115">
        <v>12044075</v>
      </c>
      <c r="E322" s="115" t="s">
        <v>895</v>
      </c>
      <c r="F322" s="139" t="s">
        <v>482</v>
      </c>
      <c r="G322" s="131" t="s">
        <v>332</v>
      </c>
      <c r="H322" s="123" t="s">
        <v>237</v>
      </c>
      <c r="I322" s="133" t="s">
        <v>283</v>
      </c>
      <c r="J322" s="123" t="s">
        <v>284</v>
      </c>
      <c r="K322" s="107" t="s">
        <v>228</v>
      </c>
      <c r="L322" s="424">
        <v>10.85</v>
      </c>
      <c r="M322" s="121" t="s">
        <v>229</v>
      </c>
    </row>
    <row r="323" spans="1:13">
      <c r="A323" s="120" t="s">
        <v>836</v>
      </c>
      <c r="B323" s="121" t="s">
        <v>456</v>
      </c>
      <c r="C323" s="122">
        <v>2323</v>
      </c>
      <c r="D323" s="115">
        <v>12044075</v>
      </c>
      <c r="E323" s="115" t="s">
        <v>895</v>
      </c>
      <c r="F323" s="139" t="s">
        <v>483</v>
      </c>
      <c r="G323" s="131" t="s">
        <v>332</v>
      </c>
      <c r="H323" s="123" t="s">
        <v>237</v>
      </c>
      <c r="I323" s="133" t="s">
        <v>283</v>
      </c>
      <c r="J323" s="123" t="s">
        <v>284</v>
      </c>
      <c r="K323" s="107" t="s">
        <v>228</v>
      </c>
      <c r="L323" s="424">
        <v>10.85</v>
      </c>
      <c r="M323" s="121" t="s">
        <v>229</v>
      </c>
    </row>
    <row r="324" spans="1:13">
      <c r="A324" s="120" t="s">
        <v>836</v>
      </c>
      <c r="B324" s="121" t="s">
        <v>456</v>
      </c>
      <c r="C324" s="122" t="s">
        <v>983</v>
      </c>
      <c r="D324" s="115">
        <v>12044075</v>
      </c>
      <c r="E324" s="115" t="s">
        <v>895</v>
      </c>
      <c r="F324" s="139" t="s">
        <v>984</v>
      </c>
      <c r="G324" s="131" t="s">
        <v>332</v>
      </c>
      <c r="H324" s="123" t="s">
        <v>237</v>
      </c>
      <c r="I324" s="133" t="s">
        <v>283</v>
      </c>
      <c r="J324" s="123" t="s">
        <v>284</v>
      </c>
      <c r="K324" s="107" t="s">
        <v>228</v>
      </c>
      <c r="L324" s="424">
        <v>10.85</v>
      </c>
      <c r="M324" s="121" t="s">
        <v>229</v>
      </c>
    </row>
    <row r="325" spans="1:13">
      <c r="A325" s="120" t="s">
        <v>836</v>
      </c>
      <c r="B325" s="121" t="s">
        <v>456</v>
      </c>
      <c r="C325" s="122">
        <v>2324</v>
      </c>
      <c r="D325" s="115">
        <v>12044075</v>
      </c>
      <c r="E325" s="115" t="s">
        <v>895</v>
      </c>
      <c r="F325" s="139" t="s">
        <v>484</v>
      </c>
      <c r="G325" s="131" t="s">
        <v>332</v>
      </c>
      <c r="H325" s="123" t="s">
        <v>237</v>
      </c>
      <c r="I325" s="133" t="s">
        <v>283</v>
      </c>
      <c r="J325" s="123" t="s">
        <v>284</v>
      </c>
      <c r="K325" s="107" t="s">
        <v>228</v>
      </c>
      <c r="L325" s="424">
        <v>10.85</v>
      </c>
      <c r="M325" s="121" t="s">
        <v>229</v>
      </c>
    </row>
    <row r="326" spans="1:13">
      <c r="A326" s="120" t="s">
        <v>836</v>
      </c>
      <c r="B326" s="121" t="s">
        <v>456</v>
      </c>
      <c r="C326" s="122" t="s">
        <v>985</v>
      </c>
      <c r="D326" s="115">
        <v>12044075</v>
      </c>
      <c r="E326" s="115" t="s">
        <v>895</v>
      </c>
      <c r="F326" s="139" t="s">
        <v>986</v>
      </c>
      <c r="G326" s="131" t="s">
        <v>332</v>
      </c>
      <c r="H326" s="123" t="s">
        <v>237</v>
      </c>
      <c r="I326" s="133" t="s">
        <v>283</v>
      </c>
      <c r="J326" s="123" t="s">
        <v>284</v>
      </c>
      <c r="K326" s="107" t="s">
        <v>228</v>
      </c>
      <c r="L326" s="424">
        <v>10.85</v>
      </c>
      <c r="M326" s="121" t="s">
        <v>229</v>
      </c>
    </row>
    <row r="327" spans="1:13">
      <c r="A327" s="120" t="s">
        <v>836</v>
      </c>
      <c r="B327" s="121" t="s">
        <v>456</v>
      </c>
      <c r="C327" s="122" t="s">
        <v>987</v>
      </c>
      <c r="D327" s="115">
        <v>12044075</v>
      </c>
      <c r="E327" s="115" t="s">
        <v>895</v>
      </c>
      <c r="F327" s="139" t="s">
        <v>988</v>
      </c>
      <c r="G327" s="131" t="s">
        <v>332</v>
      </c>
      <c r="H327" s="123" t="s">
        <v>237</v>
      </c>
      <c r="I327" s="133" t="s">
        <v>283</v>
      </c>
      <c r="J327" s="123" t="s">
        <v>284</v>
      </c>
      <c r="K327" s="107" t="s">
        <v>228</v>
      </c>
      <c r="L327" s="424">
        <v>10.85</v>
      </c>
      <c r="M327" s="121" t="s">
        <v>229</v>
      </c>
    </row>
    <row r="328" spans="1:13">
      <c r="A328" s="120" t="s">
        <v>836</v>
      </c>
      <c r="B328" s="121" t="s">
        <v>456</v>
      </c>
      <c r="C328" s="122" t="s">
        <v>989</v>
      </c>
      <c r="D328" s="115">
        <v>12044075</v>
      </c>
      <c r="E328" s="115" t="s">
        <v>895</v>
      </c>
      <c r="F328" s="139" t="s">
        <v>990</v>
      </c>
      <c r="G328" s="131" t="s">
        <v>332</v>
      </c>
      <c r="H328" s="123" t="s">
        <v>237</v>
      </c>
      <c r="I328" s="133" t="s">
        <v>283</v>
      </c>
      <c r="J328" s="123" t="s">
        <v>284</v>
      </c>
      <c r="K328" s="107" t="s">
        <v>228</v>
      </c>
      <c r="L328" s="424">
        <v>10.85</v>
      </c>
      <c r="M328" s="121" t="s">
        <v>229</v>
      </c>
    </row>
    <row r="329" spans="1:13">
      <c r="A329" s="120" t="s">
        <v>836</v>
      </c>
      <c r="B329" s="121" t="s">
        <v>456</v>
      </c>
      <c r="C329" s="122">
        <v>2325</v>
      </c>
      <c r="D329" s="115">
        <v>12044075</v>
      </c>
      <c r="E329" s="115" t="s">
        <v>895</v>
      </c>
      <c r="F329" s="139" t="s">
        <v>485</v>
      </c>
      <c r="G329" s="131" t="s">
        <v>332</v>
      </c>
      <c r="H329" s="123" t="s">
        <v>237</v>
      </c>
      <c r="I329" s="133" t="s">
        <v>283</v>
      </c>
      <c r="J329" s="123" t="s">
        <v>284</v>
      </c>
      <c r="K329" s="107" t="s">
        <v>228</v>
      </c>
      <c r="L329" s="424">
        <v>10.85</v>
      </c>
      <c r="M329" s="121" t="s">
        <v>229</v>
      </c>
    </row>
    <row r="330" spans="1:13">
      <c r="A330" s="120" t="s">
        <v>836</v>
      </c>
      <c r="B330" s="121" t="s">
        <v>456</v>
      </c>
      <c r="C330" s="122">
        <v>2360</v>
      </c>
      <c r="D330" s="115">
        <v>12044075</v>
      </c>
      <c r="E330" s="115" t="s">
        <v>895</v>
      </c>
      <c r="F330" s="139" t="s">
        <v>486</v>
      </c>
      <c r="G330" s="131" t="s">
        <v>332</v>
      </c>
      <c r="H330" s="123" t="s">
        <v>237</v>
      </c>
      <c r="I330" s="133" t="s">
        <v>283</v>
      </c>
      <c r="J330" s="123" t="s">
        <v>284</v>
      </c>
      <c r="K330" s="107" t="s">
        <v>228</v>
      </c>
      <c r="L330" s="424">
        <v>10.85</v>
      </c>
      <c r="M330" s="121" t="s">
        <v>229</v>
      </c>
    </row>
    <row r="331" spans="1:13">
      <c r="A331" s="120" t="s">
        <v>836</v>
      </c>
      <c r="B331" s="121" t="s">
        <v>456</v>
      </c>
      <c r="C331" s="122">
        <v>2361</v>
      </c>
      <c r="D331" s="115">
        <v>12044075</v>
      </c>
      <c r="E331" s="115" t="s">
        <v>895</v>
      </c>
      <c r="F331" s="139" t="s">
        <v>837</v>
      </c>
      <c r="G331" s="131" t="s">
        <v>332</v>
      </c>
      <c r="H331" s="123" t="s">
        <v>237</v>
      </c>
      <c r="I331" s="133" t="s">
        <v>283</v>
      </c>
      <c r="J331" s="123" t="s">
        <v>284</v>
      </c>
      <c r="K331" s="107" t="s">
        <v>228</v>
      </c>
      <c r="L331" s="424">
        <v>10.85</v>
      </c>
      <c r="M331" s="121" t="s">
        <v>229</v>
      </c>
    </row>
    <row r="332" spans="1:13">
      <c r="A332" s="120" t="s">
        <v>836</v>
      </c>
      <c r="B332" s="121" t="s">
        <v>456</v>
      </c>
      <c r="C332" s="122" t="s">
        <v>991</v>
      </c>
      <c r="D332" s="115">
        <v>12044075</v>
      </c>
      <c r="E332" s="115" t="s">
        <v>895</v>
      </c>
      <c r="F332" s="139" t="s">
        <v>992</v>
      </c>
      <c r="G332" s="131" t="s">
        <v>332</v>
      </c>
      <c r="H332" s="123" t="s">
        <v>237</v>
      </c>
      <c r="I332" s="133" t="s">
        <v>283</v>
      </c>
      <c r="J332" s="123" t="s">
        <v>284</v>
      </c>
      <c r="K332" s="107" t="s">
        <v>228</v>
      </c>
      <c r="L332" s="424">
        <v>10.85</v>
      </c>
      <c r="M332" s="121" t="s">
        <v>229</v>
      </c>
    </row>
    <row r="333" spans="1:13">
      <c r="A333" s="120" t="s">
        <v>836</v>
      </c>
      <c r="B333" s="121" t="s">
        <v>456</v>
      </c>
      <c r="C333" s="122">
        <v>2362</v>
      </c>
      <c r="D333" s="115">
        <v>12044075</v>
      </c>
      <c r="E333" s="115" t="s">
        <v>895</v>
      </c>
      <c r="F333" s="139" t="s">
        <v>487</v>
      </c>
      <c r="G333" s="131" t="s">
        <v>332</v>
      </c>
      <c r="H333" s="123" t="s">
        <v>237</v>
      </c>
      <c r="I333" s="133" t="s">
        <v>283</v>
      </c>
      <c r="J333" s="123" t="s">
        <v>284</v>
      </c>
      <c r="K333" s="107" t="s">
        <v>228</v>
      </c>
      <c r="L333" s="424">
        <v>10.85</v>
      </c>
      <c r="M333" s="121" t="s">
        <v>229</v>
      </c>
    </row>
    <row r="334" spans="1:13">
      <c r="A334" s="120" t="s">
        <v>836</v>
      </c>
      <c r="B334" s="121" t="s">
        <v>456</v>
      </c>
      <c r="C334" s="122">
        <v>2363</v>
      </c>
      <c r="D334" s="115">
        <v>12044075</v>
      </c>
      <c r="E334" s="115" t="s">
        <v>895</v>
      </c>
      <c r="F334" s="139" t="s">
        <v>993</v>
      </c>
      <c r="G334" s="131" t="s">
        <v>332</v>
      </c>
      <c r="H334" s="123" t="s">
        <v>237</v>
      </c>
      <c r="I334" s="133" t="s">
        <v>283</v>
      </c>
      <c r="J334" s="123" t="s">
        <v>284</v>
      </c>
      <c r="K334" s="107" t="s">
        <v>228</v>
      </c>
      <c r="L334" s="424">
        <v>10.85</v>
      </c>
      <c r="M334" s="121" t="s">
        <v>229</v>
      </c>
    </row>
    <row r="335" spans="1:13">
      <c r="A335" s="120" t="s">
        <v>836</v>
      </c>
      <c r="B335" s="121" t="s">
        <v>456</v>
      </c>
      <c r="C335" s="122" t="s">
        <v>994</v>
      </c>
      <c r="D335" s="115">
        <v>12044075</v>
      </c>
      <c r="E335" s="115" t="s">
        <v>895</v>
      </c>
      <c r="F335" s="139" t="s">
        <v>993</v>
      </c>
      <c r="G335" s="131" t="s">
        <v>332</v>
      </c>
      <c r="H335" s="123" t="s">
        <v>237</v>
      </c>
      <c r="I335" s="133" t="s">
        <v>283</v>
      </c>
      <c r="J335" s="123" t="s">
        <v>284</v>
      </c>
      <c r="K335" s="107" t="s">
        <v>228</v>
      </c>
      <c r="L335" s="424">
        <v>10.85</v>
      </c>
      <c r="M335" s="121" t="s">
        <v>229</v>
      </c>
    </row>
    <row r="336" spans="1:13">
      <c r="A336" s="120" t="s">
        <v>836</v>
      </c>
      <c r="B336" s="121" t="s">
        <v>456</v>
      </c>
      <c r="C336" s="122">
        <v>2364</v>
      </c>
      <c r="D336" s="115">
        <v>12044075</v>
      </c>
      <c r="E336" s="115" t="s">
        <v>895</v>
      </c>
      <c r="F336" s="454" t="s">
        <v>995</v>
      </c>
      <c r="G336" s="131" t="s">
        <v>332</v>
      </c>
      <c r="H336" s="123" t="s">
        <v>237</v>
      </c>
      <c r="I336" s="133" t="s">
        <v>283</v>
      </c>
      <c r="J336" s="123" t="s">
        <v>284</v>
      </c>
      <c r="K336" s="107" t="s">
        <v>228</v>
      </c>
      <c r="L336" s="424">
        <v>10.85</v>
      </c>
      <c r="M336" s="121" t="s">
        <v>229</v>
      </c>
    </row>
    <row r="337" spans="1:13">
      <c r="A337" s="120" t="s">
        <v>836</v>
      </c>
      <c r="B337" s="121" t="s">
        <v>456</v>
      </c>
      <c r="C337" s="122">
        <v>2601</v>
      </c>
      <c r="D337" s="115">
        <v>12044075</v>
      </c>
      <c r="E337" s="115" t="s">
        <v>895</v>
      </c>
      <c r="F337" s="139" t="s">
        <v>488</v>
      </c>
      <c r="G337" s="131" t="s">
        <v>332</v>
      </c>
      <c r="H337" s="123" t="s">
        <v>237</v>
      </c>
      <c r="I337" s="133" t="s">
        <v>283</v>
      </c>
      <c r="J337" s="123" t="s">
        <v>284</v>
      </c>
      <c r="K337" s="107" t="s">
        <v>228</v>
      </c>
      <c r="L337" s="424">
        <v>10.85</v>
      </c>
      <c r="M337" s="121" t="s">
        <v>229</v>
      </c>
    </row>
    <row r="338" spans="1:13">
      <c r="A338" s="120" t="s">
        <v>836</v>
      </c>
      <c r="B338" s="121" t="s">
        <v>456</v>
      </c>
      <c r="C338" s="122">
        <v>2602</v>
      </c>
      <c r="D338" s="115">
        <v>12044075</v>
      </c>
      <c r="E338" s="115" t="s">
        <v>895</v>
      </c>
      <c r="F338" s="139" t="s">
        <v>489</v>
      </c>
      <c r="G338" s="131" t="s">
        <v>332</v>
      </c>
      <c r="H338" s="123" t="s">
        <v>237</v>
      </c>
      <c r="I338" s="133" t="s">
        <v>283</v>
      </c>
      <c r="J338" s="123" t="s">
        <v>284</v>
      </c>
      <c r="K338" s="107" t="s">
        <v>228</v>
      </c>
      <c r="L338" s="424">
        <v>10.85</v>
      </c>
      <c r="M338" s="121" t="s">
        <v>229</v>
      </c>
    </row>
    <row r="339" spans="1:13">
      <c r="A339" s="120" t="s">
        <v>836</v>
      </c>
      <c r="B339" s="121" t="s">
        <v>456</v>
      </c>
      <c r="C339" s="122" t="s">
        <v>996</v>
      </c>
      <c r="D339" s="115">
        <v>12044075</v>
      </c>
      <c r="E339" s="115" t="s">
        <v>895</v>
      </c>
      <c r="F339" s="139" t="s">
        <v>997</v>
      </c>
      <c r="G339" s="131" t="s">
        <v>332</v>
      </c>
      <c r="H339" s="123" t="s">
        <v>237</v>
      </c>
      <c r="I339" s="133" t="s">
        <v>283</v>
      </c>
      <c r="J339" s="123" t="s">
        <v>284</v>
      </c>
      <c r="K339" s="107" t="s">
        <v>228</v>
      </c>
      <c r="L339" s="424">
        <v>10.85</v>
      </c>
      <c r="M339" s="121" t="s">
        <v>229</v>
      </c>
    </row>
    <row r="340" spans="1:13">
      <c r="A340" s="120" t="s">
        <v>836</v>
      </c>
      <c r="B340" s="121" t="s">
        <v>456</v>
      </c>
      <c r="C340" s="122">
        <v>5001</v>
      </c>
      <c r="D340" s="115">
        <v>12500170</v>
      </c>
      <c r="E340" s="115" t="s">
        <v>895</v>
      </c>
      <c r="F340" s="139" t="s">
        <v>526</v>
      </c>
      <c r="G340" s="131" t="s">
        <v>998</v>
      </c>
      <c r="H340" s="123" t="s">
        <v>237</v>
      </c>
      <c r="I340" s="133" t="s">
        <v>283</v>
      </c>
      <c r="J340" s="123" t="s">
        <v>284</v>
      </c>
      <c r="K340" s="107" t="s">
        <v>228</v>
      </c>
      <c r="L340" s="424">
        <v>6.95</v>
      </c>
      <c r="M340" s="121" t="s">
        <v>229</v>
      </c>
    </row>
    <row r="341" spans="1:13">
      <c r="A341" s="120" t="s">
        <v>836</v>
      </c>
      <c r="B341" s="121" t="s">
        <v>456</v>
      </c>
      <c r="C341" s="122" t="s">
        <v>999</v>
      </c>
      <c r="D341" s="115">
        <v>12500170</v>
      </c>
      <c r="E341" s="123" t="s">
        <v>800</v>
      </c>
      <c r="F341" s="139" t="s">
        <v>1000</v>
      </c>
      <c r="G341" s="131" t="s">
        <v>998</v>
      </c>
      <c r="H341" s="123" t="s">
        <v>237</v>
      </c>
      <c r="I341" s="133" t="s">
        <v>283</v>
      </c>
      <c r="J341" s="123" t="s">
        <v>284</v>
      </c>
      <c r="K341" s="107" t="s">
        <v>228</v>
      </c>
      <c r="L341" s="424">
        <v>6.95</v>
      </c>
      <c r="M341" s="121" t="s">
        <v>229</v>
      </c>
    </row>
    <row r="342" spans="1:13">
      <c r="A342" s="120" t="s">
        <v>836</v>
      </c>
      <c r="B342" s="121" t="s">
        <v>456</v>
      </c>
      <c r="C342" s="122">
        <v>5002</v>
      </c>
      <c r="D342" s="115">
        <v>12500170</v>
      </c>
      <c r="E342" s="115" t="s">
        <v>895</v>
      </c>
      <c r="F342" s="139" t="s">
        <v>527</v>
      </c>
      <c r="G342" s="131" t="s">
        <v>998</v>
      </c>
      <c r="H342" s="123" t="s">
        <v>237</v>
      </c>
      <c r="I342" s="133" t="s">
        <v>283</v>
      </c>
      <c r="J342" s="123" t="s">
        <v>284</v>
      </c>
      <c r="K342" s="107" t="s">
        <v>228</v>
      </c>
      <c r="L342" s="424">
        <v>6.95</v>
      </c>
      <c r="M342" s="121" t="s">
        <v>229</v>
      </c>
    </row>
    <row r="343" spans="1:13">
      <c r="A343" s="120" t="s">
        <v>836</v>
      </c>
      <c r="B343" s="121" t="s">
        <v>456</v>
      </c>
      <c r="C343" s="122" t="s">
        <v>530</v>
      </c>
      <c r="D343" s="115">
        <v>12500170</v>
      </c>
      <c r="E343" s="123" t="s">
        <v>800</v>
      </c>
      <c r="F343" s="139" t="s">
        <v>527</v>
      </c>
      <c r="G343" s="131" t="s">
        <v>998</v>
      </c>
      <c r="H343" s="123" t="s">
        <v>237</v>
      </c>
      <c r="I343" s="133" t="s">
        <v>283</v>
      </c>
      <c r="J343" s="123" t="s">
        <v>284</v>
      </c>
      <c r="K343" s="107" t="s">
        <v>228</v>
      </c>
      <c r="L343" s="424">
        <v>6.95</v>
      </c>
      <c r="M343" s="121" t="s">
        <v>229</v>
      </c>
    </row>
    <row r="344" spans="1:13">
      <c r="A344" s="120" t="s">
        <v>836</v>
      </c>
      <c r="B344" s="121" t="s">
        <v>456</v>
      </c>
      <c r="C344" s="122">
        <v>5003</v>
      </c>
      <c r="D344" s="115">
        <v>12500170</v>
      </c>
      <c r="E344" s="115" t="s">
        <v>895</v>
      </c>
      <c r="F344" s="139" t="s">
        <v>531</v>
      </c>
      <c r="G344" s="131" t="s">
        <v>998</v>
      </c>
      <c r="H344" s="123" t="s">
        <v>237</v>
      </c>
      <c r="I344" s="133" t="s">
        <v>283</v>
      </c>
      <c r="J344" s="123" t="s">
        <v>284</v>
      </c>
      <c r="K344" s="107" t="s">
        <v>228</v>
      </c>
      <c r="L344" s="424">
        <v>6.95</v>
      </c>
      <c r="M344" s="121" t="s">
        <v>229</v>
      </c>
    </row>
    <row r="345" spans="1:13">
      <c r="A345" s="120" t="s">
        <v>836</v>
      </c>
      <c r="B345" s="121" t="s">
        <v>456</v>
      </c>
      <c r="C345" s="122" t="s">
        <v>1001</v>
      </c>
      <c r="D345" s="115">
        <v>12500170</v>
      </c>
      <c r="E345" s="115" t="s">
        <v>895</v>
      </c>
      <c r="F345" s="139" t="s">
        <v>1002</v>
      </c>
      <c r="G345" s="131" t="s">
        <v>998</v>
      </c>
      <c r="H345" s="123" t="s">
        <v>237</v>
      </c>
      <c r="I345" s="133" t="s">
        <v>283</v>
      </c>
      <c r="J345" s="123" t="s">
        <v>284</v>
      </c>
      <c r="K345" s="107" t="s">
        <v>228</v>
      </c>
      <c r="L345" s="424">
        <v>6.95</v>
      </c>
      <c r="M345" s="121" t="s">
        <v>229</v>
      </c>
    </row>
    <row r="346" spans="1:13">
      <c r="A346" s="120" t="s">
        <v>836</v>
      </c>
      <c r="B346" s="121" t="s">
        <v>456</v>
      </c>
      <c r="C346" s="122">
        <v>5004</v>
      </c>
      <c r="D346" s="115">
        <v>12500170</v>
      </c>
      <c r="E346" s="115" t="s">
        <v>895</v>
      </c>
      <c r="F346" s="139" t="s">
        <v>532</v>
      </c>
      <c r="G346" s="131" t="s">
        <v>998</v>
      </c>
      <c r="H346" s="123" t="s">
        <v>237</v>
      </c>
      <c r="I346" s="133" t="s">
        <v>283</v>
      </c>
      <c r="J346" s="123" t="s">
        <v>284</v>
      </c>
      <c r="K346" s="107" t="s">
        <v>228</v>
      </c>
      <c r="L346" s="424">
        <v>6.95</v>
      </c>
      <c r="M346" s="121" t="s">
        <v>229</v>
      </c>
    </row>
    <row r="347" spans="1:13">
      <c r="A347" s="120" t="s">
        <v>836</v>
      </c>
      <c r="B347" s="121" t="s">
        <v>456</v>
      </c>
      <c r="C347" s="122" t="s">
        <v>1003</v>
      </c>
      <c r="D347" s="115">
        <v>12500170</v>
      </c>
      <c r="E347" s="123" t="s">
        <v>800</v>
      </c>
      <c r="F347" s="139" t="s">
        <v>1004</v>
      </c>
      <c r="G347" s="131" t="s">
        <v>998</v>
      </c>
      <c r="H347" s="123" t="s">
        <v>237</v>
      </c>
      <c r="I347" s="133" t="s">
        <v>283</v>
      </c>
      <c r="J347" s="123" t="s">
        <v>284</v>
      </c>
      <c r="K347" s="107" t="s">
        <v>228</v>
      </c>
      <c r="L347" s="424">
        <v>6.95</v>
      </c>
      <c r="M347" s="121" t="s">
        <v>229</v>
      </c>
    </row>
    <row r="348" spans="1:13">
      <c r="A348" s="120" t="s">
        <v>836</v>
      </c>
      <c r="B348" s="121" t="s">
        <v>456</v>
      </c>
      <c r="C348" s="122">
        <v>5005</v>
      </c>
      <c r="D348" s="115">
        <v>12500170</v>
      </c>
      <c r="E348" s="115" t="s">
        <v>895</v>
      </c>
      <c r="F348" s="139" t="s">
        <v>533</v>
      </c>
      <c r="G348" s="131" t="s">
        <v>998</v>
      </c>
      <c r="H348" s="123" t="s">
        <v>237</v>
      </c>
      <c r="I348" s="133" t="s">
        <v>283</v>
      </c>
      <c r="J348" s="123" t="s">
        <v>284</v>
      </c>
      <c r="K348" s="107" t="s">
        <v>228</v>
      </c>
      <c r="L348" s="424">
        <v>6.95</v>
      </c>
      <c r="M348" s="121" t="s">
        <v>229</v>
      </c>
    </row>
    <row r="349" spans="1:13">
      <c r="A349" s="120" t="s">
        <v>836</v>
      </c>
      <c r="B349" s="121" t="s">
        <v>456</v>
      </c>
      <c r="C349" s="122">
        <v>5017</v>
      </c>
      <c r="D349" s="115">
        <v>12500170</v>
      </c>
      <c r="E349" s="115" t="s">
        <v>895</v>
      </c>
      <c r="F349" s="139" t="s">
        <v>534</v>
      </c>
      <c r="G349" s="131" t="s">
        <v>998</v>
      </c>
      <c r="H349" s="123" t="s">
        <v>237</v>
      </c>
      <c r="I349" s="133" t="s">
        <v>283</v>
      </c>
      <c r="J349" s="123" t="s">
        <v>284</v>
      </c>
      <c r="K349" s="107" t="s">
        <v>228</v>
      </c>
      <c r="L349" s="424">
        <v>6.95</v>
      </c>
      <c r="M349" s="121" t="s">
        <v>229</v>
      </c>
    </row>
    <row r="350" spans="1:13">
      <c r="A350" s="120" t="s">
        <v>836</v>
      </c>
      <c r="B350" s="121" t="s">
        <v>456</v>
      </c>
      <c r="C350" s="122">
        <v>5020</v>
      </c>
      <c r="D350" s="115">
        <v>12500170</v>
      </c>
      <c r="E350" s="115" t="s">
        <v>895</v>
      </c>
      <c r="F350" s="139" t="s">
        <v>1005</v>
      </c>
      <c r="G350" s="131" t="s">
        <v>998</v>
      </c>
      <c r="H350" s="123" t="s">
        <v>237</v>
      </c>
      <c r="I350" s="133" t="s">
        <v>283</v>
      </c>
      <c r="J350" s="123" t="s">
        <v>284</v>
      </c>
      <c r="K350" s="107" t="s">
        <v>228</v>
      </c>
      <c r="L350" s="424">
        <v>6.95</v>
      </c>
      <c r="M350" s="121" t="s">
        <v>229</v>
      </c>
    </row>
    <row r="351" spans="1:13">
      <c r="A351" s="450" t="s">
        <v>836</v>
      </c>
      <c r="B351" s="440" t="s">
        <v>456</v>
      </c>
      <c r="C351" s="122" t="s">
        <v>535</v>
      </c>
      <c r="D351" s="437" t="s">
        <v>1006</v>
      </c>
      <c r="E351" s="122" t="s">
        <v>800</v>
      </c>
      <c r="F351" s="124" t="s">
        <v>545</v>
      </c>
      <c r="G351" s="455" t="s">
        <v>547</v>
      </c>
      <c r="H351" s="122" t="s">
        <v>237</v>
      </c>
      <c r="I351" s="452" t="s">
        <v>283</v>
      </c>
      <c r="J351" s="122" t="s">
        <v>284</v>
      </c>
      <c r="K351" s="107" t="s">
        <v>228</v>
      </c>
      <c r="L351" s="445">
        <v>7.6</v>
      </c>
      <c r="M351" s="440" t="s">
        <v>229</v>
      </c>
    </row>
    <row r="352" spans="1:13">
      <c r="A352" s="120" t="s">
        <v>836</v>
      </c>
      <c r="B352" s="121" t="s">
        <v>456</v>
      </c>
      <c r="C352" s="122">
        <v>5031</v>
      </c>
      <c r="D352" s="115">
        <v>12500170</v>
      </c>
      <c r="E352" s="115" t="s">
        <v>895</v>
      </c>
      <c r="F352" s="139" t="s">
        <v>536</v>
      </c>
      <c r="G352" s="131" t="s">
        <v>998</v>
      </c>
      <c r="H352" s="123" t="s">
        <v>237</v>
      </c>
      <c r="I352" s="133" t="s">
        <v>283</v>
      </c>
      <c r="J352" s="123" t="s">
        <v>284</v>
      </c>
      <c r="K352" s="107" t="s">
        <v>228</v>
      </c>
      <c r="L352" s="424">
        <v>6.95</v>
      </c>
      <c r="M352" s="121" t="s">
        <v>229</v>
      </c>
    </row>
    <row r="353" spans="1:13">
      <c r="A353" s="120" t="s">
        <v>836</v>
      </c>
      <c r="B353" s="121" t="s">
        <v>456</v>
      </c>
      <c r="C353" s="122" t="s">
        <v>537</v>
      </c>
      <c r="D353" s="115">
        <v>12500170</v>
      </c>
      <c r="E353" s="123" t="s">
        <v>800</v>
      </c>
      <c r="F353" s="139" t="s">
        <v>536</v>
      </c>
      <c r="G353" s="131" t="s">
        <v>998</v>
      </c>
      <c r="H353" s="123" t="s">
        <v>237</v>
      </c>
      <c r="I353" s="133" t="s">
        <v>283</v>
      </c>
      <c r="J353" s="123" t="s">
        <v>284</v>
      </c>
      <c r="K353" s="107" t="s">
        <v>228</v>
      </c>
      <c r="L353" s="424">
        <v>6.95</v>
      </c>
      <c r="M353" s="121" t="s">
        <v>229</v>
      </c>
    </row>
    <row r="354" spans="1:13">
      <c r="A354" s="120" t="s">
        <v>836</v>
      </c>
      <c r="B354" s="121" t="s">
        <v>456</v>
      </c>
      <c r="C354" s="122">
        <v>5034</v>
      </c>
      <c r="D354" s="115">
        <v>12500170</v>
      </c>
      <c r="E354" s="115" t="s">
        <v>895</v>
      </c>
      <c r="F354" s="139" t="s">
        <v>538</v>
      </c>
      <c r="G354" s="131" t="s">
        <v>998</v>
      </c>
      <c r="H354" s="123" t="s">
        <v>237</v>
      </c>
      <c r="I354" s="133" t="s">
        <v>283</v>
      </c>
      <c r="J354" s="123" t="s">
        <v>284</v>
      </c>
      <c r="K354" s="107" t="s">
        <v>228</v>
      </c>
      <c r="L354" s="424">
        <v>6.95</v>
      </c>
      <c r="M354" s="121" t="s">
        <v>229</v>
      </c>
    </row>
    <row r="355" spans="1:13">
      <c r="A355" s="120" t="s">
        <v>836</v>
      </c>
      <c r="B355" s="121" t="s">
        <v>456</v>
      </c>
      <c r="C355" s="122" t="s">
        <v>1007</v>
      </c>
      <c r="D355" s="115">
        <v>12500170</v>
      </c>
      <c r="E355" s="123" t="s">
        <v>800</v>
      </c>
      <c r="F355" s="139" t="s">
        <v>1008</v>
      </c>
      <c r="G355" s="131" t="s">
        <v>998</v>
      </c>
      <c r="H355" s="123" t="s">
        <v>237</v>
      </c>
      <c r="I355" s="133" t="s">
        <v>283</v>
      </c>
      <c r="J355" s="123" t="s">
        <v>284</v>
      </c>
      <c r="K355" s="107" t="s">
        <v>228</v>
      </c>
      <c r="L355" s="424">
        <v>6.95</v>
      </c>
      <c r="M355" s="121" t="s">
        <v>229</v>
      </c>
    </row>
    <row r="356" spans="1:13">
      <c r="A356" s="120" t="s">
        <v>836</v>
      </c>
      <c r="B356" s="121" t="s">
        <v>456</v>
      </c>
      <c r="C356" s="122">
        <v>5035</v>
      </c>
      <c r="D356" s="115">
        <v>12500170</v>
      </c>
      <c r="E356" s="115" t="s">
        <v>895</v>
      </c>
      <c r="F356" s="139" t="s">
        <v>539</v>
      </c>
      <c r="G356" s="131" t="s">
        <v>998</v>
      </c>
      <c r="H356" s="123" t="s">
        <v>237</v>
      </c>
      <c r="I356" s="133" t="s">
        <v>283</v>
      </c>
      <c r="J356" s="123" t="s">
        <v>284</v>
      </c>
      <c r="K356" s="107" t="s">
        <v>228</v>
      </c>
      <c r="L356" s="424">
        <v>6.95</v>
      </c>
      <c r="M356" s="121" t="s">
        <v>229</v>
      </c>
    </row>
    <row r="357" spans="1:13">
      <c r="A357" s="120" t="s">
        <v>836</v>
      </c>
      <c r="B357" s="121" t="s">
        <v>456</v>
      </c>
      <c r="C357" s="122" t="s">
        <v>540</v>
      </c>
      <c r="D357" s="115">
        <v>12500170</v>
      </c>
      <c r="E357" s="123" t="s">
        <v>800</v>
      </c>
      <c r="F357" s="139" t="s">
        <v>539</v>
      </c>
      <c r="G357" s="131" t="s">
        <v>998</v>
      </c>
      <c r="H357" s="123" t="s">
        <v>237</v>
      </c>
      <c r="I357" s="133" t="s">
        <v>283</v>
      </c>
      <c r="J357" s="123" t="s">
        <v>284</v>
      </c>
      <c r="K357" s="107" t="s">
        <v>228</v>
      </c>
      <c r="L357" s="424">
        <v>6.95</v>
      </c>
      <c r="M357" s="121" t="s">
        <v>229</v>
      </c>
    </row>
    <row r="358" spans="1:13">
      <c r="A358" s="120" t="s">
        <v>836</v>
      </c>
      <c r="B358" s="121" t="s">
        <v>456</v>
      </c>
      <c r="C358" s="122">
        <v>5036</v>
      </c>
      <c r="D358" s="115">
        <v>12500170</v>
      </c>
      <c r="E358" s="115" t="s">
        <v>895</v>
      </c>
      <c r="F358" s="139" t="s">
        <v>541</v>
      </c>
      <c r="G358" s="131" t="s">
        <v>998</v>
      </c>
      <c r="H358" s="123" t="s">
        <v>237</v>
      </c>
      <c r="I358" s="133" t="s">
        <v>283</v>
      </c>
      <c r="J358" s="123" t="s">
        <v>284</v>
      </c>
      <c r="K358" s="107" t="s">
        <v>228</v>
      </c>
      <c r="L358" s="424">
        <v>6.95</v>
      </c>
      <c r="M358" s="121" t="s">
        <v>229</v>
      </c>
    </row>
    <row r="359" spans="1:13">
      <c r="A359" s="120" t="s">
        <v>836</v>
      </c>
      <c r="B359" s="121" t="s">
        <v>456</v>
      </c>
      <c r="C359" s="122">
        <v>5301</v>
      </c>
      <c r="D359" s="115">
        <v>12500170</v>
      </c>
      <c r="E359" s="115" t="s">
        <v>895</v>
      </c>
      <c r="F359" s="139" t="s">
        <v>542</v>
      </c>
      <c r="G359" s="131" t="s">
        <v>998</v>
      </c>
      <c r="H359" s="123" t="s">
        <v>237</v>
      </c>
      <c r="I359" s="133" t="s">
        <v>283</v>
      </c>
      <c r="J359" s="123" t="s">
        <v>284</v>
      </c>
      <c r="K359" s="107" t="s">
        <v>228</v>
      </c>
      <c r="L359" s="424">
        <v>6.95</v>
      </c>
      <c r="M359" s="121" t="s">
        <v>229</v>
      </c>
    </row>
    <row r="360" spans="1:13">
      <c r="A360" s="450" t="s">
        <v>836</v>
      </c>
      <c r="B360" s="440" t="s">
        <v>456</v>
      </c>
      <c r="C360" s="440" t="s">
        <v>559</v>
      </c>
      <c r="D360" s="437" t="s">
        <v>1006</v>
      </c>
      <c r="E360" s="122" t="s">
        <v>800</v>
      </c>
      <c r="F360" s="124" t="s">
        <v>536</v>
      </c>
      <c r="G360" s="455" t="s">
        <v>547</v>
      </c>
      <c r="H360" s="122" t="s">
        <v>237</v>
      </c>
      <c r="I360" s="452" t="s">
        <v>283</v>
      </c>
      <c r="J360" s="122" t="s">
        <v>284</v>
      </c>
      <c r="K360" s="107" t="s">
        <v>228</v>
      </c>
      <c r="L360" s="445">
        <v>7.6</v>
      </c>
      <c r="M360" s="440" t="s">
        <v>229</v>
      </c>
    </row>
    <row r="361" spans="1:13">
      <c r="A361" s="120" t="s">
        <v>836</v>
      </c>
      <c r="B361" s="121" t="s">
        <v>456</v>
      </c>
      <c r="C361" s="122">
        <v>5304</v>
      </c>
      <c r="D361" s="115">
        <v>12500170</v>
      </c>
      <c r="E361" s="115" t="s">
        <v>895</v>
      </c>
      <c r="F361" s="139" t="s">
        <v>543</v>
      </c>
      <c r="G361" s="131" t="s">
        <v>998</v>
      </c>
      <c r="H361" s="123" t="s">
        <v>237</v>
      </c>
      <c r="I361" s="133" t="s">
        <v>283</v>
      </c>
      <c r="J361" s="123" t="s">
        <v>284</v>
      </c>
      <c r="K361" s="107" t="s">
        <v>228</v>
      </c>
      <c r="L361" s="424">
        <v>6.95</v>
      </c>
      <c r="M361" s="121" t="s">
        <v>229</v>
      </c>
    </row>
    <row r="362" spans="1:13">
      <c r="A362" s="450" t="s">
        <v>836</v>
      </c>
      <c r="B362" s="440" t="s">
        <v>456</v>
      </c>
      <c r="C362" s="122" t="s">
        <v>561</v>
      </c>
      <c r="D362" s="437" t="s">
        <v>1006</v>
      </c>
      <c r="E362" s="122" t="s">
        <v>800</v>
      </c>
      <c r="F362" s="124" t="s">
        <v>562</v>
      </c>
      <c r="G362" s="455" t="s">
        <v>547</v>
      </c>
      <c r="H362" s="122" t="s">
        <v>237</v>
      </c>
      <c r="I362" s="452" t="s">
        <v>283</v>
      </c>
      <c r="J362" s="122" t="s">
        <v>284</v>
      </c>
      <c r="K362" s="107" t="s">
        <v>228</v>
      </c>
      <c r="L362" s="445">
        <v>7.6</v>
      </c>
      <c r="M362" s="440" t="s">
        <v>229</v>
      </c>
    </row>
    <row r="363" spans="1:13">
      <c r="A363" s="120" t="s">
        <v>836</v>
      </c>
      <c r="B363" s="121" t="s">
        <v>456</v>
      </c>
      <c r="C363" s="122">
        <v>5305</v>
      </c>
      <c r="D363" s="115">
        <v>12500170</v>
      </c>
      <c r="E363" s="115" t="s">
        <v>895</v>
      </c>
      <c r="F363" s="139" t="s">
        <v>1009</v>
      </c>
      <c r="G363" s="131" t="s">
        <v>998</v>
      </c>
      <c r="H363" s="123" t="s">
        <v>237</v>
      </c>
      <c r="I363" s="133" t="s">
        <v>283</v>
      </c>
      <c r="J363" s="123" t="s">
        <v>284</v>
      </c>
      <c r="K363" s="107" t="s">
        <v>228</v>
      </c>
      <c r="L363" s="424">
        <v>6.95</v>
      </c>
      <c r="M363" s="121" t="s">
        <v>229</v>
      </c>
    </row>
    <row r="364" spans="1:13">
      <c r="A364" s="120" t="s">
        <v>836</v>
      </c>
      <c r="B364" s="121" t="s">
        <v>456</v>
      </c>
      <c r="C364" s="122">
        <v>5321</v>
      </c>
      <c r="D364" s="115">
        <v>12500170</v>
      </c>
      <c r="E364" s="115" t="s">
        <v>895</v>
      </c>
      <c r="F364" s="139" t="s">
        <v>544</v>
      </c>
      <c r="G364" s="127" t="s">
        <v>998</v>
      </c>
      <c r="H364" s="123" t="s">
        <v>237</v>
      </c>
      <c r="I364" s="133" t="s">
        <v>283</v>
      </c>
      <c r="J364" s="123" t="s">
        <v>284</v>
      </c>
      <c r="K364" s="107" t="s">
        <v>228</v>
      </c>
      <c r="L364" s="424">
        <v>6.95</v>
      </c>
      <c r="M364" s="121" t="s">
        <v>229</v>
      </c>
    </row>
    <row r="365" spans="1:13">
      <c r="A365" s="120" t="s">
        <v>836</v>
      </c>
      <c r="B365" s="121" t="s">
        <v>456</v>
      </c>
      <c r="C365" s="122" t="s">
        <v>563</v>
      </c>
      <c r="D365" s="115">
        <v>12500170</v>
      </c>
      <c r="E365" s="115" t="s">
        <v>800</v>
      </c>
      <c r="F365" s="124" t="s">
        <v>1010</v>
      </c>
      <c r="G365" s="127" t="s">
        <v>998</v>
      </c>
      <c r="H365" s="123" t="s">
        <v>237</v>
      </c>
      <c r="I365" s="133" t="s">
        <v>283</v>
      </c>
      <c r="J365" s="123" t="s">
        <v>284</v>
      </c>
      <c r="K365" s="107" t="s">
        <v>228</v>
      </c>
      <c r="L365" s="424">
        <v>6.95</v>
      </c>
      <c r="M365" s="121" t="s">
        <v>229</v>
      </c>
    </row>
    <row r="366" spans="1:13">
      <c r="A366" s="120" t="s">
        <v>836</v>
      </c>
      <c r="B366" s="121" t="s">
        <v>456</v>
      </c>
      <c r="C366" s="122">
        <v>5323</v>
      </c>
      <c r="D366" s="115">
        <v>12500170</v>
      </c>
      <c r="E366" s="115" t="s">
        <v>895</v>
      </c>
      <c r="F366" s="139" t="s">
        <v>545</v>
      </c>
      <c r="G366" s="131" t="s">
        <v>998</v>
      </c>
      <c r="H366" s="123" t="s">
        <v>237</v>
      </c>
      <c r="I366" s="133" t="s">
        <v>283</v>
      </c>
      <c r="J366" s="123" t="s">
        <v>284</v>
      </c>
      <c r="K366" s="107" t="s">
        <v>228</v>
      </c>
      <c r="L366" s="424">
        <v>6.95</v>
      </c>
      <c r="M366" s="121" t="s">
        <v>229</v>
      </c>
    </row>
    <row r="367" spans="1:13">
      <c r="A367" s="450" t="s">
        <v>836</v>
      </c>
      <c r="B367" s="440" t="s">
        <v>456</v>
      </c>
      <c r="C367" s="122">
        <v>5006</v>
      </c>
      <c r="D367" s="437">
        <v>12500370</v>
      </c>
      <c r="E367" s="437" t="s">
        <v>895</v>
      </c>
      <c r="F367" s="124" t="s">
        <v>546</v>
      </c>
      <c r="G367" s="455" t="s">
        <v>547</v>
      </c>
      <c r="H367" s="122" t="s">
        <v>237</v>
      </c>
      <c r="I367" s="452" t="s">
        <v>283</v>
      </c>
      <c r="J367" s="122" t="s">
        <v>284</v>
      </c>
      <c r="K367" s="107" t="s">
        <v>228</v>
      </c>
      <c r="L367" s="445">
        <v>7.6</v>
      </c>
      <c r="M367" s="440" t="s">
        <v>229</v>
      </c>
    </row>
    <row r="368" spans="1:13">
      <c r="A368" s="450" t="s">
        <v>836</v>
      </c>
      <c r="B368" s="440" t="s">
        <v>456</v>
      </c>
      <c r="C368" s="122">
        <v>5007</v>
      </c>
      <c r="D368" s="437">
        <v>12500370</v>
      </c>
      <c r="E368" s="437" t="s">
        <v>895</v>
      </c>
      <c r="F368" s="124" t="s">
        <v>548</v>
      </c>
      <c r="G368" s="455" t="s">
        <v>547</v>
      </c>
      <c r="H368" s="122" t="s">
        <v>237</v>
      </c>
      <c r="I368" s="452" t="s">
        <v>283</v>
      </c>
      <c r="J368" s="122" t="s">
        <v>284</v>
      </c>
      <c r="K368" s="107" t="s">
        <v>228</v>
      </c>
      <c r="L368" s="445">
        <v>7.6</v>
      </c>
      <c r="M368" s="440" t="s">
        <v>229</v>
      </c>
    </row>
    <row r="369" spans="1:13">
      <c r="A369" s="450" t="s">
        <v>836</v>
      </c>
      <c r="B369" s="440" t="s">
        <v>456</v>
      </c>
      <c r="C369" s="122" t="s">
        <v>549</v>
      </c>
      <c r="D369" s="437">
        <v>12500370</v>
      </c>
      <c r="E369" s="122" t="s">
        <v>800</v>
      </c>
      <c r="F369" s="124" t="s">
        <v>550</v>
      </c>
      <c r="G369" s="455" t="s">
        <v>547</v>
      </c>
      <c r="H369" s="122" t="s">
        <v>237</v>
      </c>
      <c r="I369" s="452" t="s">
        <v>283</v>
      </c>
      <c r="J369" s="122" t="s">
        <v>284</v>
      </c>
      <c r="K369" s="107" t="s">
        <v>228</v>
      </c>
      <c r="L369" s="445">
        <v>7.6</v>
      </c>
      <c r="M369" s="440" t="s">
        <v>229</v>
      </c>
    </row>
    <row r="370" spans="1:13">
      <c r="A370" s="450" t="s">
        <v>836</v>
      </c>
      <c r="B370" s="440" t="s">
        <v>456</v>
      </c>
      <c r="C370" s="122">
        <v>5008</v>
      </c>
      <c r="D370" s="437">
        <v>12500370</v>
      </c>
      <c r="E370" s="437" t="s">
        <v>895</v>
      </c>
      <c r="F370" s="124" t="s">
        <v>1011</v>
      </c>
      <c r="G370" s="455" t="s">
        <v>547</v>
      </c>
      <c r="H370" s="122" t="s">
        <v>237</v>
      </c>
      <c r="I370" s="452" t="s">
        <v>283</v>
      </c>
      <c r="J370" s="122" t="s">
        <v>284</v>
      </c>
      <c r="K370" s="107" t="s">
        <v>228</v>
      </c>
      <c r="L370" s="445">
        <v>7.6</v>
      </c>
      <c r="M370" s="440" t="s">
        <v>229</v>
      </c>
    </row>
    <row r="371" spans="1:13">
      <c r="A371" s="450" t="s">
        <v>836</v>
      </c>
      <c r="B371" s="440" t="s">
        <v>456</v>
      </c>
      <c r="C371" s="122">
        <v>5009</v>
      </c>
      <c r="D371" s="437">
        <v>12500370</v>
      </c>
      <c r="E371" s="437" t="s">
        <v>895</v>
      </c>
      <c r="F371" s="124" t="s">
        <v>838</v>
      </c>
      <c r="G371" s="455" t="s">
        <v>547</v>
      </c>
      <c r="H371" s="122" t="s">
        <v>237</v>
      </c>
      <c r="I371" s="452" t="s">
        <v>283</v>
      </c>
      <c r="J371" s="122" t="s">
        <v>284</v>
      </c>
      <c r="K371" s="107" t="s">
        <v>228</v>
      </c>
      <c r="L371" s="445">
        <v>7.6</v>
      </c>
      <c r="M371" s="440" t="s">
        <v>229</v>
      </c>
    </row>
    <row r="372" spans="1:13">
      <c r="A372" s="450" t="s">
        <v>836</v>
      </c>
      <c r="B372" s="440" t="s">
        <v>456</v>
      </c>
      <c r="C372" s="122" t="s">
        <v>839</v>
      </c>
      <c r="D372" s="437">
        <v>12500370</v>
      </c>
      <c r="E372" s="122" t="s">
        <v>800</v>
      </c>
      <c r="F372" s="124" t="s">
        <v>840</v>
      </c>
      <c r="G372" s="455" t="s">
        <v>547</v>
      </c>
      <c r="H372" s="122" t="s">
        <v>237</v>
      </c>
      <c r="I372" s="452" t="s">
        <v>283</v>
      </c>
      <c r="J372" s="122" t="s">
        <v>284</v>
      </c>
      <c r="K372" s="107" t="s">
        <v>228</v>
      </c>
      <c r="L372" s="445">
        <v>7.6</v>
      </c>
      <c r="M372" s="440" t="s">
        <v>229</v>
      </c>
    </row>
    <row r="373" spans="1:13">
      <c r="A373" s="450" t="s">
        <v>836</v>
      </c>
      <c r="B373" s="440" t="s">
        <v>456</v>
      </c>
      <c r="C373" s="122">
        <v>5011</v>
      </c>
      <c r="D373" s="437">
        <v>12500370</v>
      </c>
      <c r="E373" s="437" t="s">
        <v>895</v>
      </c>
      <c r="F373" s="124" t="s">
        <v>551</v>
      </c>
      <c r="G373" s="455" t="s">
        <v>547</v>
      </c>
      <c r="H373" s="122" t="s">
        <v>237</v>
      </c>
      <c r="I373" s="452" t="s">
        <v>283</v>
      </c>
      <c r="J373" s="122" t="s">
        <v>284</v>
      </c>
      <c r="K373" s="107" t="s">
        <v>228</v>
      </c>
      <c r="L373" s="445">
        <v>7.6</v>
      </c>
      <c r="M373" s="440" t="s">
        <v>229</v>
      </c>
    </row>
    <row r="374" spans="1:13">
      <c r="A374" s="450" t="s">
        <v>836</v>
      </c>
      <c r="B374" s="440" t="s">
        <v>456</v>
      </c>
      <c r="C374" s="122" t="s">
        <v>552</v>
      </c>
      <c r="D374" s="437">
        <v>12500370</v>
      </c>
      <c r="E374" s="122" t="s">
        <v>800</v>
      </c>
      <c r="F374" s="124" t="s">
        <v>553</v>
      </c>
      <c r="G374" s="455" t="s">
        <v>547</v>
      </c>
      <c r="H374" s="122" t="s">
        <v>237</v>
      </c>
      <c r="I374" s="452" t="s">
        <v>283</v>
      </c>
      <c r="J374" s="122" t="s">
        <v>284</v>
      </c>
      <c r="K374" s="107" t="s">
        <v>228</v>
      </c>
      <c r="L374" s="445">
        <v>7.6</v>
      </c>
      <c r="M374" s="440" t="s">
        <v>229</v>
      </c>
    </row>
    <row r="375" spans="1:13">
      <c r="A375" s="450" t="s">
        <v>836</v>
      </c>
      <c r="B375" s="440" t="s">
        <v>456</v>
      </c>
      <c r="C375" s="122" t="s">
        <v>1012</v>
      </c>
      <c r="D375" s="437">
        <v>12500370</v>
      </c>
      <c r="E375" s="122" t="s">
        <v>800</v>
      </c>
      <c r="F375" s="138" t="s">
        <v>1013</v>
      </c>
      <c r="G375" s="455" t="s">
        <v>547</v>
      </c>
      <c r="H375" s="122" t="s">
        <v>237</v>
      </c>
      <c r="I375" s="452" t="s">
        <v>283</v>
      </c>
      <c r="J375" s="122" t="s">
        <v>284</v>
      </c>
      <c r="K375" s="107" t="s">
        <v>228</v>
      </c>
      <c r="L375" s="445">
        <v>7.6</v>
      </c>
      <c r="M375" s="440" t="s">
        <v>229</v>
      </c>
    </row>
    <row r="376" spans="1:13">
      <c r="A376" s="450" t="s">
        <v>836</v>
      </c>
      <c r="B376" s="440" t="s">
        <v>456</v>
      </c>
      <c r="C376" s="122">
        <v>5013</v>
      </c>
      <c r="D376" s="437">
        <v>12500370</v>
      </c>
      <c r="E376" s="437" t="s">
        <v>895</v>
      </c>
      <c r="F376" s="124" t="s">
        <v>841</v>
      </c>
      <c r="G376" s="455" t="s">
        <v>547</v>
      </c>
      <c r="H376" s="122" t="s">
        <v>237</v>
      </c>
      <c r="I376" s="452" t="s">
        <v>283</v>
      </c>
      <c r="J376" s="122" t="s">
        <v>284</v>
      </c>
      <c r="K376" s="107" t="s">
        <v>228</v>
      </c>
      <c r="L376" s="445">
        <v>7.6</v>
      </c>
      <c r="M376" s="440" t="s">
        <v>229</v>
      </c>
    </row>
    <row r="377" spans="1:13">
      <c r="A377" s="450" t="s">
        <v>836</v>
      </c>
      <c r="B377" s="440" t="s">
        <v>456</v>
      </c>
      <c r="C377" s="122" t="s">
        <v>1014</v>
      </c>
      <c r="D377" s="437">
        <v>12500370</v>
      </c>
      <c r="E377" s="122" t="s">
        <v>800</v>
      </c>
      <c r="F377" s="124" t="s">
        <v>1015</v>
      </c>
      <c r="G377" s="455" t="s">
        <v>547</v>
      </c>
      <c r="H377" s="122" t="s">
        <v>237</v>
      </c>
      <c r="I377" s="452" t="s">
        <v>283</v>
      </c>
      <c r="J377" s="122" t="s">
        <v>284</v>
      </c>
      <c r="K377" s="107" t="s">
        <v>228</v>
      </c>
      <c r="L377" s="445">
        <v>7.6</v>
      </c>
      <c r="M377" s="440" t="s">
        <v>229</v>
      </c>
    </row>
    <row r="378" spans="1:13">
      <c r="A378" s="450" t="s">
        <v>836</v>
      </c>
      <c r="B378" s="440" t="s">
        <v>456</v>
      </c>
      <c r="C378" s="122">
        <v>5014</v>
      </c>
      <c r="D378" s="437" t="s">
        <v>1006</v>
      </c>
      <c r="E378" s="437" t="s">
        <v>895</v>
      </c>
      <c r="F378" s="124" t="s">
        <v>554</v>
      </c>
      <c r="G378" s="455" t="s">
        <v>547</v>
      </c>
      <c r="H378" s="122" t="s">
        <v>237</v>
      </c>
      <c r="I378" s="452" t="s">
        <v>283</v>
      </c>
      <c r="J378" s="122" t="s">
        <v>284</v>
      </c>
      <c r="K378" s="107" t="s">
        <v>228</v>
      </c>
      <c r="L378" s="445">
        <v>7.6</v>
      </c>
      <c r="M378" s="440" t="s">
        <v>229</v>
      </c>
    </row>
    <row r="379" spans="1:13">
      <c r="A379" s="450" t="s">
        <v>836</v>
      </c>
      <c r="B379" s="440" t="s">
        <v>456</v>
      </c>
      <c r="C379" s="122" t="s">
        <v>556</v>
      </c>
      <c r="D379" s="437">
        <v>12500370</v>
      </c>
      <c r="E379" s="122" t="s">
        <v>800</v>
      </c>
      <c r="F379" s="124" t="s">
        <v>554</v>
      </c>
      <c r="G379" s="455" t="s">
        <v>547</v>
      </c>
      <c r="H379" s="122" t="s">
        <v>237</v>
      </c>
      <c r="I379" s="452" t="s">
        <v>283</v>
      </c>
      <c r="J379" s="122" t="s">
        <v>284</v>
      </c>
      <c r="K379" s="107" t="s">
        <v>228</v>
      </c>
      <c r="L379" s="445">
        <v>7.6</v>
      </c>
      <c r="M379" s="440" t="s">
        <v>229</v>
      </c>
    </row>
    <row r="380" spans="1:13">
      <c r="A380" s="450" t="s">
        <v>836</v>
      </c>
      <c r="B380" s="440" t="s">
        <v>456</v>
      </c>
      <c r="C380" s="122" t="s">
        <v>1016</v>
      </c>
      <c r="D380" s="437">
        <v>12500370</v>
      </c>
      <c r="E380" s="122" t="s">
        <v>800</v>
      </c>
      <c r="F380" s="124" t="s">
        <v>1017</v>
      </c>
      <c r="G380" s="455" t="s">
        <v>547</v>
      </c>
      <c r="H380" s="122" t="s">
        <v>237</v>
      </c>
      <c r="I380" s="452" t="s">
        <v>283</v>
      </c>
      <c r="J380" s="122" t="s">
        <v>284</v>
      </c>
      <c r="K380" s="107" t="s">
        <v>228</v>
      </c>
      <c r="L380" s="445">
        <v>7.6</v>
      </c>
      <c r="M380" s="440" t="s">
        <v>229</v>
      </c>
    </row>
    <row r="381" spans="1:13">
      <c r="A381" s="450" t="s">
        <v>836</v>
      </c>
      <c r="B381" s="440" t="s">
        <v>456</v>
      </c>
      <c r="C381" s="122">
        <v>5019</v>
      </c>
      <c r="D381" s="437">
        <v>12500370</v>
      </c>
      <c r="E381" s="437" t="s">
        <v>895</v>
      </c>
      <c r="F381" s="124" t="s">
        <v>842</v>
      </c>
      <c r="G381" s="455" t="s">
        <v>547</v>
      </c>
      <c r="H381" s="122" t="s">
        <v>237</v>
      </c>
      <c r="I381" s="452" t="s">
        <v>283</v>
      </c>
      <c r="J381" s="122" t="s">
        <v>284</v>
      </c>
      <c r="K381" s="107" t="s">
        <v>228</v>
      </c>
      <c r="L381" s="445">
        <v>7.6</v>
      </c>
      <c r="M381" s="440" t="s">
        <v>229</v>
      </c>
    </row>
    <row r="382" spans="1:13">
      <c r="A382" s="450" t="s">
        <v>836</v>
      </c>
      <c r="B382" s="440" t="s">
        <v>456</v>
      </c>
      <c r="C382" s="122" t="s">
        <v>1018</v>
      </c>
      <c r="D382" s="437">
        <v>12500370</v>
      </c>
      <c r="E382" s="122" t="s">
        <v>800</v>
      </c>
      <c r="F382" s="124" t="s">
        <v>1019</v>
      </c>
      <c r="G382" s="455" t="s">
        <v>547</v>
      </c>
      <c r="H382" s="122" t="s">
        <v>237</v>
      </c>
      <c r="I382" s="452" t="s">
        <v>283</v>
      </c>
      <c r="J382" s="122" t="s">
        <v>284</v>
      </c>
      <c r="K382" s="107" t="s">
        <v>228</v>
      </c>
      <c r="L382" s="445">
        <v>7.6</v>
      </c>
      <c r="M382" s="440" t="s">
        <v>229</v>
      </c>
    </row>
    <row r="383" spans="1:13">
      <c r="A383" s="450" t="s">
        <v>836</v>
      </c>
      <c r="B383" s="440" t="s">
        <v>456</v>
      </c>
      <c r="C383" s="122">
        <v>5021</v>
      </c>
      <c r="D383" s="437">
        <v>12500370</v>
      </c>
      <c r="E383" s="437" t="s">
        <v>895</v>
      </c>
      <c r="F383" s="124" t="s">
        <v>555</v>
      </c>
      <c r="G383" s="455" t="s">
        <v>547</v>
      </c>
      <c r="H383" s="122" t="s">
        <v>237</v>
      </c>
      <c r="I383" s="452" t="s">
        <v>283</v>
      </c>
      <c r="J383" s="122" t="s">
        <v>284</v>
      </c>
      <c r="K383" s="107" t="s">
        <v>228</v>
      </c>
      <c r="L383" s="445">
        <v>7.6</v>
      </c>
      <c r="M383" s="440" t="s">
        <v>229</v>
      </c>
    </row>
    <row r="384" spans="1:13">
      <c r="A384" s="450" t="s">
        <v>836</v>
      </c>
      <c r="B384" s="440" t="s">
        <v>456</v>
      </c>
      <c r="C384" s="122" t="s">
        <v>564</v>
      </c>
      <c r="D384" s="437">
        <v>12500370</v>
      </c>
      <c r="E384" s="122" t="s">
        <v>800</v>
      </c>
      <c r="F384" s="124" t="s">
        <v>843</v>
      </c>
      <c r="G384" s="455" t="s">
        <v>547</v>
      </c>
      <c r="H384" s="122" t="s">
        <v>237</v>
      </c>
      <c r="I384" s="452" t="s">
        <v>283</v>
      </c>
      <c r="J384" s="122" t="s">
        <v>284</v>
      </c>
      <c r="K384" s="107" t="s">
        <v>228</v>
      </c>
      <c r="L384" s="445">
        <v>7.6</v>
      </c>
      <c r="M384" s="440" t="s">
        <v>229</v>
      </c>
    </row>
    <row r="385" spans="1:13">
      <c r="A385" s="450" t="s">
        <v>836</v>
      </c>
      <c r="B385" s="440" t="s">
        <v>456</v>
      </c>
      <c r="C385" s="122">
        <v>5069</v>
      </c>
      <c r="D385" s="437">
        <v>12500370</v>
      </c>
      <c r="E385" s="437" t="s">
        <v>895</v>
      </c>
      <c r="F385" s="124" t="s">
        <v>558</v>
      </c>
      <c r="G385" s="455" t="s">
        <v>547</v>
      </c>
      <c r="H385" s="122" t="s">
        <v>237</v>
      </c>
      <c r="I385" s="452" t="s">
        <v>283</v>
      </c>
      <c r="J385" s="122" t="s">
        <v>284</v>
      </c>
      <c r="K385" s="107" t="s">
        <v>228</v>
      </c>
      <c r="L385" s="445">
        <v>7.6</v>
      </c>
      <c r="M385" s="440" t="s">
        <v>229</v>
      </c>
    </row>
    <row r="386" spans="1:13">
      <c r="A386" s="450" t="s">
        <v>836</v>
      </c>
      <c r="B386" s="440" t="s">
        <v>456</v>
      </c>
      <c r="C386" s="122" t="s">
        <v>557</v>
      </c>
      <c r="D386" s="437">
        <v>12500370</v>
      </c>
      <c r="E386" s="122" t="s">
        <v>800</v>
      </c>
      <c r="F386" s="124" t="s">
        <v>558</v>
      </c>
      <c r="G386" s="455" t="s">
        <v>547</v>
      </c>
      <c r="H386" s="122" t="s">
        <v>237</v>
      </c>
      <c r="I386" s="452" t="s">
        <v>283</v>
      </c>
      <c r="J386" s="122" t="s">
        <v>284</v>
      </c>
      <c r="K386" s="107" t="s">
        <v>228</v>
      </c>
      <c r="L386" s="445">
        <v>7.6</v>
      </c>
      <c r="M386" s="440" t="s">
        <v>229</v>
      </c>
    </row>
    <row r="387" spans="1:13">
      <c r="A387" s="450" t="s">
        <v>836</v>
      </c>
      <c r="B387" s="440" t="s">
        <v>456</v>
      </c>
      <c r="C387" s="122">
        <v>5070</v>
      </c>
      <c r="D387" s="437">
        <v>12500370</v>
      </c>
      <c r="E387" s="437" t="s">
        <v>895</v>
      </c>
      <c r="F387" s="124" t="s">
        <v>565</v>
      </c>
      <c r="G387" s="455" t="s">
        <v>547</v>
      </c>
      <c r="H387" s="122" t="s">
        <v>237</v>
      </c>
      <c r="I387" s="452" t="s">
        <v>283</v>
      </c>
      <c r="J387" s="122" t="s">
        <v>284</v>
      </c>
      <c r="K387" s="107" t="s">
        <v>228</v>
      </c>
      <c r="L387" s="445">
        <v>7.6</v>
      </c>
      <c r="M387" s="440" t="s">
        <v>229</v>
      </c>
    </row>
    <row r="388" spans="1:13">
      <c r="A388" s="450" t="s">
        <v>836</v>
      </c>
      <c r="B388" s="440" t="s">
        <v>456</v>
      </c>
      <c r="C388" s="122" t="s">
        <v>1020</v>
      </c>
      <c r="D388" s="437">
        <v>12500370</v>
      </c>
      <c r="E388" s="437" t="s">
        <v>800</v>
      </c>
      <c r="F388" s="138" t="s">
        <v>1021</v>
      </c>
      <c r="G388" s="455" t="s">
        <v>547</v>
      </c>
      <c r="H388" s="122" t="s">
        <v>237</v>
      </c>
      <c r="I388" s="452" t="s">
        <v>283</v>
      </c>
      <c r="J388" s="122" t="s">
        <v>284</v>
      </c>
      <c r="K388" s="107" t="s">
        <v>228</v>
      </c>
      <c r="L388" s="445">
        <v>7.6</v>
      </c>
      <c r="M388" s="440" t="s">
        <v>229</v>
      </c>
    </row>
    <row r="389" spans="1:13">
      <c r="A389" s="450" t="s">
        <v>836</v>
      </c>
      <c r="B389" s="440" t="s">
        <v>456</v>
      </c>
      <c r="C389" s="122">
        <v>5037</v>
      </c>
      <c r="D389" s="437">
        <v>12500370</v>
      </c>
      <c r="E389" s="437" t="s">
        <v>895</v>
      </c>
      <c r="F389" s="124" t="s">
        <v>566</v>
      </c>
      <c r="G389" s="455" t="s">
        <v>547</v>
      </c>
      <c r="H389" s="122" t="s">
        <v>237</v>
      </c>
      <c r="I389" s="452" t="s">
        <v>283</v>
      </c>
      <c r="J389" s="122" t="s">
        <v>284</v>
      </c>
      <c r="K389" s="107" t="s">
        <v>228</v>
      </c>
      <c r="L389" s="445">
        <v>7.6</v>
      </c>
      <c r="M389" s="440" t="s">
        <v>229</v>
      </c>
    </row>
    <row r="390" spans="1:13">
      <c r="A390" s="450" t="s">
        <v>836</v>
      </c>
      <c r="B390" s="440" t="s">
        <v>456</v>
      </c>
      <c r="C390" s="122" t="s">
        <v>1022</v>
      </c>
      <c r="D390" s="437">
        <v>12500370</v>
      </c>
      <c r="E390" s="122" t="s">
        <v>800</v>
      </c>
      <c r="F390" s="124" t="s">
        <v>1023</v>
      </c>
      <c r="G390" s="455" t="s">
        <v>547</v>
      </c>
      <c r="H390" s="122" t="s">
        <v>237</v>
      </c>
      <c r="I390" s="452" t="s">
        <v>283</v>
      </c>
      <c r="J390" s="122" t="s">
        <v>284</v>
      </c>
      <c r="K390" s="107" t="s">
        <v>228</v>
      </c>
      <c r="L390" s="445">
        <v>7.6</v>
      </c>
      <c r="M390" s="440" t="s">
        <v>229</v>
      </c>
    </row>
    <row r="391" spans="1:13">
      <c r="A391" s="450" t="s">
        <v>836</v>
      </c>
      <c r="B391" s="440" t="s">
        <v>456</v>
      </c>
      <c r="C391" s="122">
        <v>5038</v>
      </c>
      <c r="D391" s="437">
        <v>12500370</v>
      </c>
      <c r="E391" s="437" t="s">
        <v>895</v>
      </c>
      <c r="F391" s="124" t="s">
        <v>1024</v>
      </c>
      <c r="G391" s="455" t="s">
        <v>547</v>
      </c>
      <c r="H391" s="122" t="s">
        <v>237</v>
      </c>
      <c r="I391" s="452" t="s">
        <v>283</v>
      </c>
      <c r="J391" s="122" t="s">
        <v>284</v>
      </c>
      <c r="K391" s="107" t="s">
        <v>228</v>
      </c>
      <c r="L391" s="445">
        <v>7.6</v>
      </c>
      <c r="M391" s="440" t="s">
        <v>229</v>
      </c>
    </row>
    <row r="392" spans="1:13">
      <c r="A392" s="450" t="s">
        <v>836</v>
      </c>
      <c r="B392" s="440" t="s">
        <v>456</v>
      </c>
      <c r="C392" s="122">
        <v>5039</v>
      </c>
      <c r="D392" s="437">
        <v>12500370</v>
      </c>
      <c r="E392" s="437" t="s">
        <v>895</v>
      </c>
      <c r="F392" s="124" t="s">
        <v>567</v>
      </c>
      <c r="G392" s="455" t="s">
        <v>547</v>
      </c>
      <c r="H392" s="122" t="s">
        <v>237</v>
      </c>
      <c r="I392" s="452" t="s">
        <v>283</v>
      </c>
      <c r="J392" s="122" t="s">
        <v>284</v>
      </c>
      <c r="K392" s="107" t="s">
        <v>228</v>
      </c>
      <c r="L392" s="445">
        <v>7.6</v>
      </c>
      <c r="M392" s="440" t="s">
        <v>229</v>
      </c>
    </row>
    <row r="393" spans="1:13">
      <c r="A393" s="450" t="s">
        <v>836</v>
      </c>
      <c r="B393" s="440" t="s">
        <v>456</v>
      </c>
      <c r="C393" s="122" t="s">
        <v>568</v>
      </c>
      <c r="D393" s="437">
        <v>12500370</v>
      </c>
      <c r="E393" s="122" t="s">
        <v>800</v>
      </c>
      <c r="F393" s="124" t="s">
        <v>569</v>
      </c>
      <c r="G393" s="455" t="s">
        <v>547</v>
      </c>
      <c r="H393" s="122" t="s">
        <v>237</v>
      </c>
      <c r="I393" s="452" t="s">
        <v>283</v>
      </c>
      <c r="J393" s="122" t="s">
        <v>284</v>
      </c>
      <c r="K393" s="107" t="s">
        <v>228</v>
      </c>
      <c r="L393" s="445">
        <v>7.6</v>
      </c>
      <c r="M393" s="440" t="s">
        <v>229</v>
      </c>
    </row>
    <row r="394" spans="1:13">
      <c r="A394" s="450" t="s">
        <v>836</v>
      </c>
      <c r="B394" s="440" t="s">
        <v>456</v>
      </c>
      <c r="C394" s="122" t="s">
        <v>1025</v>
      </c>
      <c r="D394" s="437">
        <v>12500370</v>
      </c>
      <c r="E394" s="122" t="s">
        <v>800</v>
      </c>
      <c r="F394" s="124" t="s">
        <v>1026</v>
      </c>
      <c r="G394" s="455" t="s">
        <v>547</v>
      </c>
      <c r="H394" s="122" t="s">
        <v>237</v>
      </c>
      <c r="I394" s="452" t="s">
        <v>283</v>
      </c>
      <c r="J394" s="122" t="s">
        <v>284</v>
      </c>
      <c r="K394" s="107" t="s">
        <v>228</v>
      </c>
      <c r="L394" s="445">
        <v>7.6</v>
      </c>
      <c r="M394" s="440" t="s">
        <v>229</v>
      </c>
    </row>
    <row r="395" spans="1:13">
      <c r="A395" s="450" t="s">
        <v>836</v>
      </c>
      <c r="B395" s="440" t="s">
        <v>456</v>
      </c>
      <c r="C395" s="122" t="s">
        <v>1027</v>
      </c>
      <c r="D395" s="437">
        <v>12500370</v>
      </c>
      <c r="E395" s="437" t="s">
        <v>895</v>
      </c>
      <c r="F395" s="456" t="s">
        <v>1028</v>
      </c>
      <c r="G395" s="455" t="s">
        <v>547</v>
      </c>
      <c r="H395" s="122" t="s">
        <v>237</v>
      </c>
      <c r="I395" s="452" t="s">
        <v>283</v>
      </c>
      <c r="J395" s="122" t="s">
        <v>284</v>
      </c>
      <c r="K395" s="107" t="s">
        <v>228</v>
      </c>
      <c r="L395" s="445">
        <v>7.6</v>
      </c>
      <c r="M395" s="440" t="s">
        <v>229</v>
      </c>
    </row>
    <row r="396" spans="1:13">
      <c r="A396" s="450" t="s">
        <v>836</v>
      </c>
      <c r="B396" s="440" t="s">
        <v>456</v>
      </c>
      <c r="C396" s="122">
        <v>5041</v>
      </c>
      <c r="D396" s="437">
        <v>12500370</v>
      </c>
      <c r="E396" s="437" t="s">
        <v>895</v>
      </c>
      <c r="F396" s="124" t="s">
        <v>570</v>
      </c>
      <c r="G396" s="455" t="s">
        <v>547</v>
      </c>
      <c r="H396" s="122" t="s">
        <v>237</v>
      </c>
      <c r="I396" s="452" t="s">
        <v>283</v>
      </c>
      <c r="J396" s="122" t="s">
        <v>284</v>
      </c>
      <c r="K396" s="107" t="s">
        <v>228</v>
      </c>
      <c r="L396" s="445">
        <v>7.6</v>
      </c>
      <c r="M396" s="440" t="s">
        <v>229</v>
      </c>
    </row>
    <row r="397" spans="1:13">
      <c r="A397" s="450" t="s">
        <v>836</v>
      </c>
      <c r="B397" s="440" t="s">
        <v>456</v>
      </c>
      <c r="C397" s="122" t="s">
        <v>571</v>
      </c>
      <c r="D397" s="437">
        <v>12500370</v>
      </c>
      <c r="E397" s="122" t="s">
        <v>800</v>
      </c>
      <c r="F397" s="124" t="s">
        <v>570</v>
      </c>
      <c r="G397" s="455" t="s">
        <v>547</v>
      </c>
      <c r="H397" s="122" t="s">
        <v>237</v>
      </c>
      <c r="I397" s="452" t="s">
        <v>283</v>
      </c>
      <c r="J397" s="122" t="s">
        <v>284</v>
      </c>
      <c r="K397" s="107" t="s">
        <v>228</v>
      </c>
      <c r="L397" s="445">
        <v>7.6</v>
      </c>
      <c r="M397" s="440" t="s">
        <v>229</v>
      </c>
    </row>
    <row r="398" spans="1:13">
      <c r="A398" s="450" t="s">
        <v>836</v>
      </c>
      <c r="B398" s="440" t="s">
        <v>456</v>
      </c>
      <c r="C398" s="437" t="s">
        <v>572</v>
      </c>
      <c r="D398" s="437">
        <v>12500370</v>
      </c>
      <c r="E398" s="122" t="s">
        <v>800</v>
      </c>
      <c r="F398" s="105" t="s">
        <v>844</v>
      </c>
      <c r="G398" s="455" t="s">
        <v>547</v>
      </c>
      <c r="H398" s="122" t="s">
        <v>237</v>
      </c>
      <c r="I398" s="452" t="s">
        <v>283</v>
      </c>
      <c r="J398" s="122" t="s">
        <v>284</v>
      </c>
      <c r="K398" s="107" t="s">
        <v>228</v>
      </c>
      <c r="L398" s="445">
        <v>7.6</v>
      </c>
      <c r="M398" s="440" t="s">
        <v>229</v>
      </c>
    </row>
    <row r="399" spans="1:13">
      <c r="A399" s="450" t="s">
        <v>836</v>
      </c>
      <c r="B399" s="440" t="s">
        <v>456</v>
      </c>
      <c r="C399" s="437" t="s">
        <v>845</v>
      </c>
      <c r="D399" s="437">
        <v>12500370</v>
      </c>
      <c r="E399" s="437" t="s">
        <v>895</v>
      </c>
      <c r="F399" s="105" t="s">
        <v>846</v>
      </c>
      <c r="G399" s="455" t="s">
        <v>547</v>
      </c>
      <c r="H399" s="122" t="s">
        <v>237</v>
      </c>
      <c r="I399" s="452" t="s">
        <v>283</v>
      </c>
      <c r="J399" s="122" t="s">
        <v>284</v>
      </c>
      <c r="K399" s="107" t="s">
        <v>228</v>
      </c>
      <c r="L399" s="445">
        <v>7.6</v>
      </c>
      <c r="M399" s="440" t="s">
        <v>229</v>
      </c>
    </row>
    <row r="400" spans="1:13">
      <c r="A400" s="450" t="s">
        <v>836</v>
      </c>
      <c r="B400" s="440" t="s">
        <v>456</v>
      </c>
      <c r="C400" s="437" t="s">
        <v>560</v>
      </c>
      <c r="D400" s="437">
        <v>12500370</v>
      </c>
      <c r="E400" s="122" t="s">
        <v>800</v>
      </c>
      <c r="F400" s="105" t="s">
        <v>847</v>
      </c>
      <c r="G400" s="455" t="s">
        <v>547</v>
      </c>
      <c r="H400" s="122" t="s">
        <v>237</v>
      </c>
      <c r="I400" s="452" t="s">
        <v>283</v>
      </c>
      <c r="J400" s="122" t="s">
        <v>284</v>
      </c>
      <c r="K400" s="107" t="s">
        <v>228</v>
      </c>
      <c r="L400" s="445">
        <v>7.6</v>
      </c>
      <c r="M400" s="440" t="s">
        <v>229</v>
      </c>
    </row>
    <row r="401" spans="1:13">
      <c r="A401" s="450" t="s">
        <v>836</v>
      </c>
      <c r="B401" s="440" t="s">
        <v>456</v>
      </c>
      <c r="C401" s="437">
        <v>5322</v>
      </c>
      <c r="D401" s="437">
        <v>12500370</v>
      </c>
      <c r="E401" s="437" t="s">
        <v>895</v>
      </c>
      <c r="F401" s="105" t="s">
        <v>573</v>
      </c>
      <c r="G401" s="455" t="s">
        <v>547</v>
      </c>
      <c r="H401" s="122" t="s">
        <v>237</v>
      </c>
      <c r="I401" s="452" t="s">
        <v>283</v>
      </c>
      <c r="J401" s="122" t="s">
        <v>284</v>
      </c>
      <c r="K401" s="107" t="s">
        <v>228</v>
      </c>
      <c r="L401" s="445">
        <v>7.6</v>
      </c>
      <c r="M401" s="440" t="s">
        <v>229</v>
      </c>
    </row>
    <row r="402" spans="1:13">
      <c r="A402" s="450" t="s">
        <v>836</v>
      </c>
      <c r="B402" s="440" t="s">
        <v>456</v>
      </c>
      <c r="C402" s="437" t="s">
        <v>1029</v>
      </c>
      <c r="D402" s="437">
        <v>12500370</v>
      </c>
      <c r="E402" s="122" t="s">
        <v>800</v>
      </c>
      <c r="F402" s="105" t="s">
        <v>1030</v>
      </c>
      <c r="G402" s="455" t="s">
        <v>547</v>
      </c>
      <c r="H402" s="122" t="s">
        <v>237</v>
      </c>
      <c r="I402" s="452" t="s">
        <v>283</v>
      </c>
      <c r="J402" s="122" t="s">
        <v>284</v>
      </c>
      <c r="K402" s="107" t="s">
        <v>228</v>
      </c>
      <c r="L402" s="445">
        <v>7.6</v>
      </c>
      <c r="M402" s="440" t="s">
        <v>229</v>
      </c>
    </row>
    <row r="403" spans="1:13">
      <c r="A403" s="450" t="s">
        <v>836</v>
      </c>
      <c r="B403" s="440" t="s">
        <v>456</v>
      </c>
      <c r="C403" s="437">
        <v>5324</v>
      </c>
      <c r="D403" s="437">
        <v>12500370</v>
      </c>
      <c r="E403" s="437" t="s">
        <v>895</v>
      </c>
      <c r="F403" s="105" t="s">
        <v>574</v>
      </c>
      <c r="G403" s="455" t="s">
        <v>547</v>
      </c>
      <c r="H403" s="122" t="s">
        <v>237</v>
      </c>
      <c r="I403" s="452" t="s">
        <v>283</v>
      </c>
      <c r="J403" s="122" t="s">
        <v>284</v>
      </c>
      <c r="K403" s="107" t="s">
        <v>228</v>
      </c>
      <c r="L403" s="445">
        <v>7.6</v>
      </c>
      <c r="M403" s="440" t="s">
        <v>229</v>
      </c>
    </row>
    <row r="404" spans="1:13">
      <c r="A404" s="450" t="s">
        <v>836</v>
      </c>
      <c r="B404" s="440" t="s">
        <v>456</v>
      </c>
      <c r="C404" s="437" t="s">
        <v>1031</v>
      </c>
      <c r="D404" s="437">
        <v>12500370</v>
      </c>
      <c r="E404" s="122" t="s">
        <v>800</v>
      </c>
      <c r="F404" s="105" t="s">
        <v>1032</v>
      </c>
      <c r="G404" s="455" t="s">
        <v>547</v>
      </c>
      <c r="H404" s="122" t="s">
        <v>237</v>
      </c>
      <c r="I404" s="452" t="s">
        <v>283</v>
      </c>
      <c r="J404" s="122" t="s">
        <v>284</v>
      </c>
      <c r="K404" s="107" t="s">
        <v>228</v>
      </c>
      <c r="L404" s="445">
        <v>7.6</v>
      </c>
      <c r="M404" s="440" t="s">
        <v>229</v>
      </c>
    </row>
    <row r="405" spans="1:13">
      <c r="A405" s="450" t="s">
        <v>836</v>
      </c>
      <c r="B405" s="440" t="s">
        <v>456</v>
      </c>
      <c r="C405" s="437">
        <v>5306</v>
      </c>
      <c r="D405" s="437">
        <v>12500370</v>
      </c>
      <c r="E405" s="437" t="s">
        <v>895</v>
      </c>
      <c r="F405" s="105" t="s">
        <v>588</v>
      </c>
      <c r="G405" s="455" t="s">
        <v>547</v>
      </c>
      <c r="H405" s="122" t="s">
        <v>237</v>
      </c>
      <c r="I405" s="452" t="s">
        <v>283</v>
      </c>
      <c r="J405" s="122" t="s">
        <v>284</v>
      </c>
      <c r="K405" s="107" t="s">
        <v>228</v>
      </c>
      <c r="L405" s="445">
        <v>7.6</v>
      </c>
      <c r="M405" s="440" t="s">
        <v>229</v>
      </c>
    </row>
    <row r="406" spans="1:13">
      <c r="A406" s="450" t="s">
        <v>836</v>
      </c>
      <c r="B406" s="440" t="s">
        <v>456</v>
      </c>
      <c r="C406" s="437">
        <v>5010</v>
      </c>
      <c r="D406" s="437">
        <v>12500370</v>
      </c>
      <c r="E406" s="437" t="s">
        <v>895</v>
      </c>
      <c r="F406" s="105" t="s">
        <v>589</v>
      </c>
      <c r="G406" s="455" t="s">
        <v>547</v>
      </c>
      <c r="H406" s="122" t="s">
        <v>237</v>
      </c>
      <c r="I406" s="452" t="s">
        <v>283</v>
      </c>
      <c r="J406" s="122" t="s">
        <v>284</v>
      </c>
      <c r="K406" s="107" t="s">
        <v>228</v>
      </c>
      <c r="L406" s="445">
        <v>7.6</v>
      </c>
      <c r="M406" s="440" t="s">
        <v>229</v>
      </c>
    </row>
    <row r="407" spans="1:13">
      <c r="A407" s="450" t="s">
        <v>836</v>
      </c>
      <c r="B407" s="440" t="s">
        <v>456</v>
      </c>
      <c r="C407" s="437" t="s">
        <v>1033</v>
      </c>
      <c r="D407" s="437">
        <v>12500370</v>
      </c>
      <c r="E407" s="122" t="s">
        <v>800</v>
      </c>
      <c r="F407" s="105" t="s">
        <v>1034</v>
      </c>
      <c r="G407" s="455" t="s">
        <v>547</v>
      </c>
      <c r="H407" s="122" t="s">
        <v>237</v>
      </c>
      <c r="I407" s="452" t="s">
        <v>283</v>
      </c>
      <c r="J407" s="122" t="s">
        <v>284</v>
      </c>
      <c r="K407" s="107" t="s">
        <v>228</v>
      </c>
      <c r="L407" s="445">
        <v>7.6</v>
      </c>
      <c r="M407" s="440" t="s">
        <v>229</v>
      </c>
    </row>
    <row r="408" spans="1:13">
      <c r="A408" s="450" t="s">
        <v>836</v>
      </c>
      <c r="B408" s="440" t="s">
        <v>456</v>
      </c>
      <c r="C408" s="437">
        <v>5012</v>
      </c>
      <c r="D408" s="437">
        <v>12500370</v>
      </c>
      <c r="E408" s="437" t="s">
        <v>895</v>
      </c>
      <c r="F408" s="105" t="s">
        <v>590</v>
      </c>
      <c r="G408" s="455" t="s">
        <v>547</v>
      </c>
      <c r="H408" s="122" t="s">
        <v>237</v>
      </c>
      <c r="I408" s="452" t="s">
        <v>283</v>
      </c>
      <c r="J408" s="122" t="s">
        <v>284</v>
      </c>
      <c r="K408" s="107" t="s">
        <v>228</v>
      </c>
      <c r="L408" s="445">
        <v>7.6</v>
      </c>
      <c r="M408" s="440" t="s">
        <v>229</v>
      </c>
    </row>
    <row r="409" spans="1:13">
      <c r="A409" s="120" t="s">
        <v>836</v>
      </c>
      <c r="B409" s="121" t="s">
        <v>456</v>
      </c>
      <c r="C409" s="115">
        <v>5705</v>
      </c>
      <c r="D409" s="115">
        <v>12500570</v>
      </c>
      <c r="E409" s="115" t="s">
        <v>895</v>
      </c>
      <c r="F409" s="105" t="s">
        <v>575</v>
      </c>
      <c r="G409" s="131" t="s">
        <v>547</v>
      </c>
      <c r="H409" s="123" t="s">
        <v>237</v>
      </c>
      <c r="I409" s="133" t="s">
        <v>285</v>
      </c>
      <c r="J409" s="123" t="s">
        <v>284</v>
      </c>
      <c r="K409" s="107" t="s">
        <v>228</v>
      </c>
      <c r="L409" s="424">
        <v>4.9000000000000004</v>
      </c>
      <c r="M409" s="121" t="s">
        <v>229</v>
      </c>
    </row>
    <row r="410" spans="1:13">
      <c r="A410" s="120" t="s">
        <v>836</v>
      </c>
      <c r="B410" s="121" t="s">
        <v>456</v>
      </c>
      <c r="C410" s="115">
        <v>5706</v>
      </c>
      <c r="D410" s="115">
        <v>12500570</v>
      </c>
      <c r="E410" s="115" t="s">
        <v>895</v>
      </c>
      <c r="F410" s="105" t="s">
        <v>576</v>
      </c>
      <c r="G410" s="131" t="s">
        <v>547</v>
      </c>
      <c r="H410" s="123" t="s">
        <v>237</v>
      </c>
      <c r="I410" s="133" t="s">
        <v>285</v>
      </c>
      <c r="J410" s="123" t="s">
        <v>284</v>
      </c>
      <c r="K410" s="107" t="s">
        <v>228</v>
      </c>
      <c r="L410" s="424">
        <v>4.9000000000000004</v>
      </c>
      <c r="M410" s="121" t="s">
        <v>229</v>
      </c>
    </row>
    <row r="411" spans="1:13">
      <c r="A411" s="120" t="s">
        <v>836</v>
      </c>
      <c r="B411" s="121" t="s">
        <v>456</v>
      </c>
      <c r="C411" s="115" t="s">
        <v>1035</v>
      </c>
      <c r="D411" s="115">
        <v>12500570</v>
      </c>
      <c r="E411" s="115" t="s">
        <v>895</v>
      </c>
      <c r="F411" s="105" t="s">
        <v>1036</v>
      </c>
      <c r="G411" s="131" t="s">
        <v>547</v>
      </c>
      <c r="H411" s="123" t="s">
        <v>237</v>
      </c>
      <c r="I411" s="133" t="s">
        <v>285</v>
      </c>
      <c r="J411" s="123" t="s">
        <v>284</v>
      </c>
      <c r="K411" s="107" t="s">
        <v>228</v>
      </c>
      <c r="L411" s="424">
        <v>4.9000000000000004</v>
      </c>
      <c r="M411" s="121" t="s">
        <v>229</v>
      </c>
    </row>
    <row r="412" spans="1:13">
      <c r="A412" s="120" t="s">
        <v>836</v>
      </c>
      <c r="B412" s="121" t="s">
        <v>456</v>
      </c>
      <c r="C412" s="115" t="s">
        <v>1037</v>
      </c>
      <c r="D412" s="115">
        <v>12500570</v>
      </c>
      <c r="E412" s="115" t="s">
        <v>895</v>
      </c>
      <c r="F412" s="105" t="s">
        <v>1038</v>
      </c>
      <c r="G412" s="131" t="s">
        <v>547</v>
      </c>
      <c r="H412" s="123" t="s">
        <v>237</v>
      </c>
      <c r="I412" s="133" t="s">
        <v>285</v>
      </c>
      <c r="J412" s="123" t="s">
        <v>284</v>
      </c>
      <c r="K412" s="107" t="s">
        <v>228</v>
      </c>
      <c r="L412" s="424">
        <v>4.9000000000000004</v>
      </c>
      <c r="M412" s="121" t="s">
        <v>229</v>
      </c>
    </row>
    <row r="413" spans="1:13">
      <c r="A413" s="120" t="s">
        <v>836</v>
      </c>
      <c r="B413" s="121" t="s">
        <v>456</v>
      </c>
      <c r="C413" s="115" t="s">
        <v>1039</v>
      </c>
      <c r="D413" s="115">
        <v>12500570</v>
      </c>
      <c r="E413" s="115" t="s">
        <v>895</v>
      </c>
      <c r="F413" s="105" t="s">
        <v>1040</v>
      </c>
      <c r="G413" s="131" t="s">
        <v>547</v>
      </c>
      <c r="H413" s="123" t="s">
        <v>237</v>
      </c>
      <c r="I413" s="133" t="s">
        <v>285</v>
      </c>
      <c r="J413" s="123" t="s">
        <v>284</v>
      </c>
      <c r="K413" s="107" t="s">
        <v>228</v>
      </c>
      <c r="L413" s="424">
        <v>4.9000000000000004</v>
      </c>
      <c r="M413" s="121" t="s">
        <v>229</v>
      </c>
    </row>
    <row r="414" spans="1:13">
      <c r="A414" s="120" t="s">
        <v>836</v>
      </c>
      <c r="B414" s="121" t="s">
        <v>456</v>
      </c>
      <c r="C414" s="115">
        <v>5720</v>
      </c>
      <c r="D414" s="115">
        <v>12500570</v>
      </c>
      <c r="E414" s="115" t="s">
        <v>895</v>
      </c>
      <c r="F414" s="105" t="s">
        <v>577</v>
      </c>
      <c r="G414" s="131" t="s">
        <v>547</v>
      </c>
      <c r="H414" s="123" t="s">
        <v>237</v>
      </c>
      <c r="I414" s="133" t="s">
        <v>285</v>
      </c>
      <c r="J414" s="123" t="s">
        <v>284</v>
      </c>
      <c r="K414" s="107" t="s">
        <v>228</v>
      </c>
      <c r="L414" s="424">
        <v>4.9000000000000004</v>
      </c>
      <c r="M414" s="121" t="s">
        <v>229</v>
      </c>
    </row>
    <row r="415" spans="1:13">
      <c r="A415" s="120" t="s">
        <v>836</v>
      </c>
      <c r="B415" s="121" t="s">
        <v>456</v>
      </c>
      <c r="C415" s="115">
        <v>5801</v>
      </c>
      <c r="D415" s="115">
        <v>12500770</v>
      </c>
      <c r="E415" s="115" t="s">
        <v>895</v>
      </c>
      <c r="F415" s="105" t="s">
        <v>578</v>
      </c>
      <c r="G415" s="131" t="s">
        <v>547</v>
      </c>
      <c r="H415" s="123" t="s">
        <v>237</v>
      </c>
      <c r="I415" s="133" t="s">
        <v>316</v>
      </c>
      <c r="J415" s="123" t="s">
        <v>284</v>
      </c>
      <c r="K415" s="107" t="s">
        <v>228</v>
      </c>
      <c r="L415" s="424">
        <v>8.85</v>
      </c>
      <c r="M415" s="121" t="s">
        <v>229</v>
      </c>
    </row>
    <row r="416" spans="1:13">
      <c r="A416" s="120" t="s">
        <v>836</v>
      </c>
      <c r="B416" s="121" t="s">
        <v>456</v>
      </c>
      <c r="C416" s="115">
        <v>5821</v>
      </c>
      <c r="D416" s="115">
        <v>12500770</v>
      </c>
      <c r="E416" s="115" t="s">
        <v>895</v>
      </c>
      <c r="F416" s="105" t="s">
        <v>579</v>
      </c>
      <c r="G416" s="131" t="s">
        <v>547</v>
      </c>
      <c r="H416" s="123" t="s">
        <v>237</v>
      </c>
      <c r="I416" s="133" t="s">
        <v>316</v>
      </c>
      <c r="J416" s="123" t="s">
        <v>284</v>
      </c>
      <c r="K416" s="107" t="s">
        <v>228</v>
      </c>
      <c r="L416" s="424">
        <v>8.85</v>
      </c>
      <c r="M416" s="121" t="s">
        <v>229</v>
      </c>
    </row>
    <row r="417" spans="1:13">
      <c r="A417" s="120" t="s">
        <v>836</v>
      </c>
      <c r="B417" s="121" t="s">
        <v>456</v>
      </c>
      <c r="C417" s="115" t="s">
        <v>1041</v>
      </c>
      <c r="D417" s="115">
        <v>12500770</v>
      </c>
      <c r="E417" s="115" t="s">
        <v>895</v>
      </c>
      <c r="F417" s="105" t="s">
        <v>1042</v>
      </c>
      <c r="G417" s="131" t="s">
        <v>547</v>
      </c>
      <c r="H417" s="123" t="s">
        <v>237</v>
      </c>
      <c r="I417" s="133" t="s">
        <v>316</v>
      </c>
      <c r="J417" s="123" t="s">
        <v>284</v>
      </c>
      <c r="K417" s="107" t="s">
        <v>228</v>
      </c>
      <c r="L417" s="424">
        <v>8.85</v>
      </c>
      <c r="M417" s="121" t="s">
        <v>229</v>
      </c>
    </row>
    <row r="418" spans="1:13">
      <c r="A418" s="120" t="s">
        <v>836</v>
      </c>
      <c r="B418" s="121" t="s">
        <v>456</v>
      </c>
      <c r="C418" s="115">
        <v>5802</v>
      </c>
      <c r="D418" s="115">
        <v>12500770</v>
      </c>
      <c r="E418" s="115" t="s">
        <v>895</v>
      </c>
      <c r="F418" s="105" t="s">
        <v>580</v>
      </c>
      <c r="G418" s="131" t="s">
        <v>547</v>
      </c>
      <c r="H418" s="123" t="s">
        <v>237</v>
      </c>
      <c r="I418" s="133" t="s">
        <v>316</v>
      </c>
      <c r="J418" s="123" t="s">
        <v>284</v>
      </c>
      <c r="K418" s="107" t="s">
        <v>228</v>
      </c>
      <c r="L418" s="424">
        <v>8.85</v>
      </c>
      <c r="M418" s="121" t="s">
        <v>229</v>
      </c>
    </row>
    <row r="419" spans="1:13">
      <c r="A419" s="120" t="s">
        <v>836</v>
      </c>
      <c r="B419" s="121" t="s">
        <v>456</v>
      </c>
      <c r="C419" s="115">
        <v>5800</v>
      </c>
      <c r="D419" s="115">
        <v>12500770</v>
      </c>
      <c r="E419" s="115" t="s">
        <v>895</v>
      </c>
      <c r="F419" s="105" t="s">
        <v>581</v>
      </c>
      <c r="G419" s="131" t="s">
        <v>547</v>
      </c>
      <c r="H419" s="123" t="s">
        <v>237</v>
      </c>
      <c r="I419" s="133" t="s">
        <v>316</v>
      </c>
      <c r="J419" s="123" t="s">
        <v>284</v>
      </c>
      <c r="K419" s="107" t="s">
        <v>228</v>
      </c>
      <c r="L419" s="424">
        <v>8.85</v>
      </c>
      <c r="M419" s="121" t="s">
        <v>229</v>
      </c>
    </row>
    <row r="420" spans="1:13">
      <c r="A420" s="450" t="s">
        <v>836</v>
      </c>
      <c r="B420" s="440" t="s">
        <v>456</v>
      </c>
      <c r="C420" s="437">
        <v>8003</v>
      </c>
      <c r="D420" s="437" t="s">
        <v>848</v>
      </c>
      <c r="E420" s="437" t="s">
        <v>895</v>
      </c>
      <c r="F420" s="105" t="s">
        <v>849</v>
      </c>
      <c r="G420" s="455" t="s">
        <v>490</v>
      </c>
      <c r="H420" s="122" t="s">
        <v>237</v>
      </c>
      <c r="I420" s="452" t="s">
        <v>283</v>
      </c>
      <c r="J420" s="122" t="s">
        <v>284</v>
      </c>
      <c r="K420" s="107" t="s">
        <v>228</v>
      </c>
      <c r="L420" s="445">
        <v>8.4499999999999993</v>
      </c>
      <c r="M420" s="440" t="s">
        <v>229</v>
      </c>
    </row>
    <row r="421" spans="1:13">
      <c r="A421" s="450" t="s">
        <v>836</v>
      </c>
      <c r="B421" s="440" t="s">
        <v>456</v>
      </c>
      <c r="C421" s="437" t="s">
        <v>1043</v>
      </c>
      <c r="D421" s="437" t="s">
        <v>848</v>
      </c>
      <c r="E421" s="437" t="s">
        <v>895</v>
      </c>
      <c r="F421" s="105" t="s">
        <v>1044</v>
      </c>
      <c r="G421" s="455" t="s">
        <v>490</v>
      </c>
      <c r="H421" s="122" t="s">
        <v>237</v>
      </c>
      <c r="I421" s="452" t="s">
        <v>283</v>
      </c>
      <c r="J421" s="122" t="s">
        <v>284</v>
      </c>
      <c r="K421" s="107" t="s">
        <v>228</v>
      </c>
      <c r="L421" s="445">
        <v>8.4499999999999993</v>
      </c>
      <c r="M421" s="440" t="s">
        <v>229</v>
      </c>
    </row>
    <row r="422" spans="1:13">
      <c r="A422" s="450" t="s">
        <v>836</v>
      </c>
      <c r="B422" s="440" t="s">
        <v>456</v>
      </c>
      <c r="C422" s="437" t="s">
        <v>1045</v>
      </c>
      <c r="D422" s="437" t="s">
        <v>848</v>
      </c>
      <c r="E422" s="437" t="s">
        <v>895</v>
      </c>
      <c r="F422" s="105" t="s">
        <v>1046</v>
      </c>
      <c r="G422" s="455" t="s">
        <v>490</v>
      </c>
      <c r="H422" s="122" t="s">
        <v>237</v>
      </c>
      <c r="I422" s="452" t="s">
        <v>283</v>
      </c>
      <c r="J422" s="122" t="s">
        <v>284</v>
      </c>
      <c r="K422" s="107" t="s">
        <v>228</v>
      </c>
      <c r="L422" s="445">
        <v>8.4499999999999993</v>
      </c>
      <c r="M422" s="440" t="s">
        <v>229</v>
      </c>
    </row>
    <row r="423" spans="1:13">
      <c r="A423" s="450" t="s">
        <v>836</v>
      </c>
      <c r="B423" s="440" t="s">
        <v>456</v>
      </c>
      <c r="C423" s="437" t="s">
        <v>1047</v>
      </c>
      <c r="D423" s="437" t="s">
        <v>848</v>
      </c>
      <c r="E423" s="437" t="s">
        <v>895</v>
      </c>
      <c r="F423" s="105" t="s">
        <v>1048</v>
      </c>
      <c r="G423" s="455" t="s">
        <v>490</v>
      </c>
      <c r="H423" s="122" t="s">
        <v>237</v>
      </c>
      <c r="I423" s="452" t="s">
        <v>283</v>
      </c>
      <c r="J423" s="122" t="s">
        <v>284</v>
      </c>
      <c r="K423" s="107" t="s">
        <v>228</v>
      </c>
      <c r="L423" s="445">
        <v>8.4499999999999993</v>
      </c>
      <c r="M423" s="440" t="s">
        <v>229</v>
      </c>
    </row>
    <row r="424" spans="1:13">
      <c r="A424" s="450" t="s">
        <v>836</v>
      </c>
      <c r="B424" s="440" t="s">
        <v>456</v>
      </c>
      <c r="C424" s="437" t="s">
        <v>1049</v>
      </c>
      <c r="D424" s="437" t="s">
        <v>848</v>
      </c>
      <c r="E424" s="437" t="s">
        <v>895</v>
      </c>
      <c r="F424" s="105" t="s">
        <v>1050</v>
      </c>
      <c r="G424" s="455" t="s">
        <v>490</v>
      </c>
      <c r="H424" s="122" t="s">
        <v>237</v>
      </c>
      <c r="I424" s="452" t="s">
        <v>283</v>
      </c>
      <c r="J424" s="122" t="s">
        <v>284</v>
      </c>
      <c r="K424" s="107" t="s">
        <v>228</v>
      </c>
      <c r="L424" s="445">
        <v>8.4499999999999993</v>
      </c>
      <c r="M424" s="440" t="s">
        <v>229</v>
      </c>
    </row>
    <row r="425" spans="1:13">
      <c r="A425" s="450" t="s">
        <v>836</v>
      </c>
      <c r="B425" s="440" t="s">
        <v>456</v>
      </c>
      <c r="C425" s="437">
        <v>8004</v>
      </c>
      <c r="D425" s="437" t="s">
        <v>848</v>
      </c>
      <c r="E425" s="437" t="s">
        <v>895</v>
      </c>
      <c r="F425" s="105" t="s">
        <v>850</v>
      </c>
      <c r="G425" s="455" t="s">
        <v>490</v>
      </c>
      <c r="H425" s="122" t="s">
        <v>237</v>
      </c>
      <c r="I425" s="452" t="s">
        <v>283</v>
      </c>
      <c r="J425" s="122" t="s">
        <v>284</v>
      </c>
      <c r="K425" s="107" t="s">
        <v>228</v>
      </c>
      <c r="L425" s="445">
        <v>8.4499999999999993</v>
      </c>
      <c r="M425" s="440" t="s">
        <v>229</v>
      </c>
    </row>
    <row r="426" spans="1:13">
      <c r="A426" s="450" t="s">
        <v>836</v>
      </c>
      <c r="B426" s="440" t="s">
        <v>456</v>
      </c>
      <c r="C426" s="437" t="s">
        <v>1051</v>
      </c>
      <c r="D426" s="437" t="s">
        <v>848</v>
      </c>
      <c r="E426" s="437" t="s">
        <v>895</v>
      </c>
      <c r="F426" s="105" t="s">
        <v>1052</v>
      </c>
      <c r="G426" s="455" t="s">
        <v>490</v>
      </c>
      <c r="H426" s="122" t="s">
        <v>237</v>
      </c>
      <c r="I426" s="452" t="s">
        <v>283</v>
      </c>
      <c r="J426" s="122" t="s">
        <v>284</v>
      </c>
      <c r="K426" s="107" t="s">
        <v>228</v>
      </c>
      <c r="L426" s="445">
        <v>8.4499999999999993</v>
      </c>
      <c r="M426" s="440" t="s">
        <v>229</v>
      </c>
    </row>
    <row r="427" spans="1:13">
      <c r="A427" s="450" t="s">
        <v>836</v>
      </c>
      <c r="B427" s="440" t="s">
        <v>456</v>
      </c>
      <c r="C427" s="437" t="s">
        <v>1053</v>
      </c>
      <c r="D427" s="437" t="s">
        <v>848</v>
      </c>
      <c r="E427" s="437" t="s">
        <v>895</v>
      </c>
      <c r="F427" s="105" t="s">
        <v>1054</v>
      </c>
      <c r="G427" s="455" t="s">
        <v>490</v>
      </c>
      <c r="H427" s="122" t="s">
        <v>237</v>
      </c>
      <c r="I427" s="452" t="s">
        <v>283</v>
      </c>
      <c r="J427" s="122" t="s">
        <v>284</v>
      </c>
      <c r="K427" s="107" t="s">
        <v>228</v>
      </c>
      <c r="L427" s="445">
        <v>8.4499999999999993</v>
      </c>
      <c r="M427" s="440" t="s">
        <v>229</v>
      </c>
    </row>
    <row r="428" spans="1:13">
      <c r="A428" s="450" t="s">
        <v>836</v>
      </c>
      <c r="B428" s="440" t="s">
        <v>456</v>
      </c>
      <c r="C428" s="437">
        <v>8026</v>
      </c>
      <c r="D428" s="437" t="s">
        <v>848</v>
      </c>
      <c r="E428" s="437" t="s">
        <v>895</v>
      </c>
      <c r="F428" s="105" t="s">
        <v>851</v>
      </c>
      <c r="G428" s="455" t="s">
        <v>490</v>
      </c>
      <c r="H428" s="122" t="s">
        <v>237</v>
      </c>
      <c r="I428" s="452" t="s">
        <v>283</v>
      </c>
      <c r="J428" s="122" t="s">
        <v>284</v>
      </c>
      <c r="K428" s="107" t="s">
        <v>228</v>
      </c>
      <c r="L428" s="445">
        <v>8.4499999999999993</v>
      </c>
      <c r="M428" s="440" t="s">
        <v>229</v>
      </c>
    </row>
    <row r="429" spans="1:13">
      <c r="A429" s="450" t="s">
        <v>836</v>
      </c>
      <c r="B429" s="440" t="s">
        <v>456</v>
      </c>
      <c r="C429" s="437" t="s">
        <v>1055</v>
      </c>
      <c r="D429" s="437" t="s">
        <v>848</v>
      </c>
      <c r="E429" s="437" t="s">
        <v>895</v>
      </c>
      <c r="F429" s="105" t="s">
        <v>1056</v>
      </c>
      <c r="G429" s="455" t="s">
        <v>490</v>
      </c>
      <c r="H429" s="122" t="s">
        <v>237</v>
      </c>
      <c r="I429" s="452" t="s">
        <v>283</v>
      </c>
      <c r="J429" s="122" t="s">
        <v>284</v>
      </c>
      <c r="K429" s="107" t="s">
        <v>228</v>
      </c>
      <c r="L429" s="445">
        <v>8.4499999999999993</v>
      </c>
      <c r="M429" s="440" t="s">
        <v>229</v>
      </c>
    </row>
    <row r="430" spans="1:13">
      <c r="A430" s="450" t="s">
        <v>836</v>
      </c>
      <c r="B430" s="440" t="s">
        <v>456</v>
      </c>
      <c r="C430" s="437">
        <v>8028</v>
      </c>
      <c r="D430" s="437" t="s">
        <v>848</v>
      </c>
      <c r="E430" s="437" t="s">
        <v>895</v>
      </c>
      <c r="F430" s="105" t="s">
        <v>852</v>
      </c>
      <c r="G430" s="455" t="s">
        <v>490</v>
      </c>
      <c r="H430" s="122" t="s">
        <v>237</v>
      </c>
      <c r="I430" s="452" t="s">
        <v>283</v>
      </c>
      <c r="J430" s="122" t="s">
        <v>284</v>
      </c>
      <c r="K430" s="107" t="s">
        <v>228</v>
      </c>
      <c r="L430" s="445">
        <v>8.4499999999999993</v>
      </c>
      <c r="M430" s="440" t="s">
        <v>229</v>
      </c>
    </row>
    <row r="431" spans="1:13">
      <c r="A431" s="450" t="s">
        <v>836</v>
      </c>
      <c r="B431" s="440" t="s">
        <v>456</v>
      </c>
      <c r="C431" s="437" t="s">
        <v>1057</v>
      </c>
      <c r="D431" s="437" t="s">
        <v>848</v>
      </c>
      <c r="E431" s="437" t="s">
        <v>895</v>
      </c>
      <c r="F431" s="105" t="s">
        <v>1058</v>
      </c>
      <c r="G431" s="455" t="s">
        <v>490</v>
      </c>
      <c r="H431" s="122" t="s">
        <v>237</v>
      </c>
      <c r="I431" s="452" t="s">
        <v>283</v>
      </c>
      <c r="J431" s="122" t="s">
        <v>284</v>
      </c>
      <c r="K431" s="107" t="s">
        <v>228</v>
      </c>
      <c r="L431" s="445">
        <v>8.4499999999999993</v>
      </c>
      <c r="M431" s="440" t="s">
        <v>229</v>
      </c>
    </row>
    <row r="432" spans="1:13">
      <c r="A432" s="450" t="s">
        <v>836</v>
      </c>
      <c r="B432" s="440" t="s">
        <v>456</v>
      </c>
      <c r="C432" s="437" t="s">
        <v>1059</v>
      </c>
      <c r="D432" s="437" t="s">
        <v>848</v>
      </c>
      <c r="E432" s="437" t="s">
        <v>895</v>
      </c>
      <c r="F432" s="105" t="s">
        <v>1060</v>
      </c>
      <c r="G432" s="455" t="s">
        <v>490</v>
      </c>
      <c r="H432" s="122" t="s">
        <v>237</v>
      </c>
      <c r="I432" s="452" t="s">
        <v>283</v>
      </c>
      <c r="J432" s="122" t="s">
        <v>284</v>
      </c>
      <c r="K432" s="107" t="s">
        <v>228</v>
      </c>
      <c r="L432" s="445">
        <v>8.4499999999999993</v>
      </c>
      <c r="M432" s="440" t="s">
        <v>229</v>
      </c>
    </row>
    <row r="433" spans="1:13">
      <c r="A433" s="450" t="s">
        <v>836</v>
      </c>
      <c r="B433" s="440" t="s">
        <v>456</v>
      </c>
      <c r="C433" s="437" t="s">
        <v>1061</v>
      </c>
      <c r="D433" s="437" t="s">
        <v>848</v>
      </c>
      <c r="E433" s="437" t="s">
        <v>895</v>
      </c>
      <c r="F433" s="105" t="s">
        <v>1062</v>
      </c>
      <c r="G433" s="455" t="s">
        <v>490</v>
      </c>
      <c r="H433" s="122" t="s">
        <v>237</v>
      </c>
      <c r="I433" s="452" t="s">
        <v>283</v>
      </c>
      <c r="J433" s="122" t="s">
        <v>284</v>
      </c>
      <c r="K433" s="107" t="s">
        <v>228</v>
      </c>
      <c r="L433" s="445">
        <v>8.4499999999999993</v>
      </c>
      <c r="M433" s="440" t="s">
        <v>229</v>
      </c>
    </row>
    <row r="434" spans="1:13">
      <c r="A434" s="450" t="s">
        <v>836</v>
      </c>
      <c r="B434" s="440" t="s">
        <v>456</v>
      </c>
      <c r="C434" s="437" t="s">
        <v>1063</v>
      </c>
      <c r="D434" s="437" t="s">
        <v>848</v>
      </c>
      <c r="E434" s="437" t="s">
        <v>800</v>
      </c>
      <c r="F434" s="105" t="s">
        <v>1064</v>
      </c>
      <c r="G434" s="455" t="s">
        <v>490</v>
      </c>
      <c r="H434" s="122" t="s">
        <v>237</v>
      </c>
      <c r="I434" s="452" t="s">
        <v>283</v>
      </c>
      <c r="J434" s="122" t="s">
        <v>284</v>
      </c>
      <c r="K434" s="107" t="s">
        <v>228</v>
      </c>
      <c r="L434" s="445">
        <v>8.4499999999999993</v>
      </c>
      <c r="M434" s="440" t="s">
        <v>229</v>
      </c>
    </row>
    <row r="435" spans="1:13">
      <c r="A435" s="450" t="s">
        <v>836</v>
      </c>
      <c r="B435" s="440" t="s">
        <v>456</v>
      </c>
      <c r="C435" s="437" t="s">
        <v>1065</v>
      </c>
      <c r="D435" s="437" t="s">
        <v>848</v>
      </c>
      <c r="E435" s="437" t="s">
        <v>895</v>
      </c>
      <c r="F435" s="105" t="s">
        <v>1066</v>
      </c>
      <c r="G435" s="455" t="s">
        <v>490</v>
      </c>
      <c r="H435" s="122" t="s">
        <v>237</v>
      </c>
      <c r="I435" s="452" t="s">
        <v>283</v>
      </c>
      <c r="J435" s="122" t="s">
        <v>284</v>
      </c>
      <c r="K435" s="107" t="s">
        <v>228</v>
      </c>
      <c r="L435" s="445">
        <v>8.4499999999999993</v>
      </c>
      <c r="M435" s="440" t="s">
        <v>229</v>
      </c>
    </row>
    <row r="436" spans="1:13">
      <c r="A436" s="450" t="s">
        <v>836</v>
      </c>
      <c r="B436" s="440" t="s">
        <v>456</v>
      </c>
      <c r="C436" s="437" t="s">
        <v>1067</v>
      </c>
      <c r="D436" s="437" t="s">
        <v>848</v>
      </c>
      <c r="E436" s="437" t="s">
        <v>895</v>
      </c>
      <c r="F436" s="105" t="s">
        <v>1068</v>
      </c>
      <c r="G436" s="455" t="s">
        <v>490</v>
      </c>
      <c r="H436" s="122" t="s">
        <v>237</v>
      </c>
      <c r="I436" s="452" t="s">
        <v>283</v>
      </c>
      <c r="J436" s="122" t="s">
        <v>284</v>
      </c>
      <c r="K436" s="107" t="s">
        <v>228</v>
      </c>
      <c r="L436" s="445">
        <v>8.4499999999999993</v>
      </c>
      <c r="M436" s="440" t="s">
        <v>229</v>
      </c>
    </row>
    <row r="437" spans="1:13">
      <c r="A437" s="450" t="s">
        <v>836</v>
      </c>
      <c r="B437" s="440" t="s">
        <v>456</v>
      </c>
      <c r="C437" s="437">
        <v>8073</v>
      </c>
      <c r="D437" s="437" t="s">
        <v>848</v>
      </c>
      <c r="E437" s="437" t="s">
        <v>895</v>
      </c>
      <c r="F437" s="124" t="s">
        <v>501</v>
      </c>
      <c r="G437" s="455" t="s">
        <v>490</v>
      </c>
      <c r="H437" s="122" t="s">
        <v>237</v>
      </c>
      <c r="I437" s="452" t="s">
        <v>283</v>
      </c>
      <c r="J437" s="122" t="s">
        <v>284</v>
      </c>
      <c r="K437" s="107" t="s">
        <v>228</v>
      </c>
      <c r="L437" s="445">
        <v>8.4499999999999993</v>
      </c>
      <c r="M437" s="440" t="s">
        <v>229</v>
      </c>
    </row>
    <row r="438" spans="1:13">
      <c r="A438" s="450" t="s">
        <v>836</v>
      </c>
      <c r="B438" s="440" t="s">
        <v>456</v>
      </c>
      <c r="C438" s="437">
        <v>8074</v>
      </c>
      <c r="D438" s="437" t="s">
        <v>848</v>
      </c>
      <c r="E438" s="437" t="s">
        <v>895</v>
      </c>
      <c r="F438" s="124" t="s">
        <v>502</v>
      </c>
      <c r="G438" s="455" t="s">
        <v>490</v>
      </c>
      <c r="H438" s="122" t="s">
        <v>237</v>
      </c>
      <c r="I438" s="452" t="s">
        <v>283</v>
      </c>
      <c r="J438" s="122" t="s">
        <v>284</v>
      </c>
      <c r="K438" s="107" t="s">
        <v>228</v>
      </c>
      <c r="L438" s="445">
        <v>8.4499999999999993</v>
      </c>
      <c r="M438" s="440" t="s">
        <v>229</v>
      </c>
    </row>
    <row r="439" spans="1:13">
      <c r="A439" s="450" t="s">
        <v>836</v>
      </c>
      <c r="B439" s="440" t="s">
        <v>456</v>
      </c>
      <c r="C439" s="437" t="s">
        <v>1069</v>
      </c>
      <c r="D439" s="437" t="s">
        <v>848</v>
      </c>
      <c r="E439" s="437" t="s">
        <v>895</v>
      </c>
      <c r="F439" s="124" t="s">
        <v>1070</v>
      </c>
      <c r="G439" s="455" t="s">
        <v>490</v>
      </c>
      <c r="H439" s="122" t="s">
        <v>237</v>
      </c>
      <c r="I439" s="452" t="s">
        <v>283</v>
      </c>
      <c r="J439" s="122" t="s">
        <v>284</v>
      </c>
      <c r="K439" s="107" t="s">
        <v>228</v>
      </c>
      <c r="L439" s="445">
        <v>8.4499999999999993</v>
      </c>
      <c r="M439" s="440" t="s">
        <v>229</v>
      </c>
    </row>
    <row r="440" spans="1:13">
      <c r="A440" s="450" t="s">
        <v>836</v>
      </c>
      <c r="B440" s="440" t="s">
        <v>456</v>
      </c>
      <c r="C440" s="437" t="s">
        <v>1071</v>
      </c>
      <c r="D440" s="437" t="s">
        <v>848</v>
      </c>
      <c r="E440" s="437" t="s">
        <v>895</v>
      </c>
      <c r="F440" s="124" t="s">
        <v>1072</v>
      </c>
      <c r="G440" s="455" t="s">
        <v>490</v>
      </c>
      <c r="H440" s="122" t="s">
        <v>237</v>
      </c>
      <c r="I440" s="452" t="s">
        <v>283</v>
      </c>
      <c r="J440" s="122" t="s">
        <v>284</v>
      </c>
      <c r="K440" s="107" t="s">
        <v>228</v>
      </c>
      <c r="L440" s="445">
        <v>8.4499999999999993</v>
      </c>
      <c r="M440" s="440" t="s">
        <v>229</v>
      </c>
    </row>
    <row r="441" spans="1:13">
      <c r="A441" s="450" t="s">
        <v>836</v>
      </c>
      <c r="B441" s="440" t="s">
        <v>456</v>
      </c>
      <c r="C441" s="437" t="s">
        <v>1073</v>
      </c>
      <c r="D441" s="437" t="s">
        <v>848</v>
      </c>
      <c r="E441" s="437" t="s">
        <v>895</v>
      </c>
      <c r="F441" s="124" t="s">
        <v>1074</v>
      </c>
      <c r="G441" s="455" t="s">
        <v>490</v>
      </c>
      <c r="H441" s="122" t="s">
        <v>237</v>
      </c>
      <c r="I441" s="452" t="s">
        <v>283</v>
      </c>
      <c r="J441" s="122" t="s">
        <v>284</v>
      </c>
      <c r="K441" s="107" t="s">
        <v>228</v>
      </c>
      <c r="L441" s="445">
        <v>8.4499999999999993</v>
      </c>
      <c r="M441" s="440" t="s">
        <v>229</v>
      </c>
    </row>
    <row r="442" spans="1:13">
      <c r="A442" s="450" t="s">
        <v>836</v>
      </c>
      <c r="B442" s="440" t="s">
        <v>456</v>
      </c>
      <c r="C442" s="437">
        <v>8076</v>
      </c>
      <c r="D442" s="437" t="s">
        <v>848</v>
      </c>
      <c r="E442" s="437" t="s">
        <v>895</v>
      </c>
      <c r="F442" s="124" t="s">
        <v>504</v>
      </c>
      <c r="G442" s="455" t="s">
        <v>490</v>
      </c>
      <c r="H442" s="122" t="s">
        <v>237</v>
      </c>
      <c r="I442" s="452" t="s">
        <v>283</v>
      </c>
      <c r="J442" s="122" t="s">
        <v>284</v>
      </c>
      <c r="K442" s="107" t="s">
        <v>228</v>
      </c>
      <c r="L442" s="445">
        <v>8.4499999999999993</v>
      </c>
      <c r="M442" s="440" t="s">
        <v>229</v>
      </c>
    </row>
    <row r="443" spans="1:13">
      <c r="A443" s="450" t="s">
        <v>836</v>
      </c>
      <c r="B443" s="440" t="s">
        <v>456</v>
      </c>
      <c r="C443" s="437" t="s">
        <v>1075</v>
      </c>
      <c r="D443" s="437" t="s">
        <v>848</v>
      </c>
      <c r="E443" s="437" t="s">
        <v>895</v>
      </c>
      <c r="F443" s="124" t="s">
        <v>1076</v>
      </c>
      <c r="G443" s="455" t="s">
        <v>490</v>
      </c>
      <c r="H443" s="122" t="s">
        <v>237</v>
      </c>
      <c r="I443" s="452" t="s">
        <v>283</v>
      </c>
      <c r="J443" s="122" t="s">
        <v>284</v>
      </c>
      <c r="K443" s="107" t="s">
        <v>228</v>
      </c>
      <c r="L443" s="445">
        <v>8.4499999999999993</v>
      </c>
      <c r="M443" s="440" t="s">
        <v>229</v>
      </c>
    </row>
    <row r="444" spans="1:13">
      <c r="A444" s="450" t="s">
        <v>836</v>
      </c>
      <c r="B444" s="440" t="s">
        <v>456</v>
      </c>
      <c r="C444" s="437">
        <v>8250</v>
      </c>
      <c r="D444" s="437" t="s">
        <v>848</v>
      </c>
      <c r="E444" s="437" t="s">
        <v>895</v>
      </c>
      <c r="F444" s="105" t="s">
        <v>853</v>
      </c>
      <c r="G444" s="455" t="s">
        <v>490</v>
      </c>
      <c r="H444" s="122" t="s">
        <v>237</v>
      </c>
      <c r="I444" s="452" t="s">
        <v>283</v>
      </c>
      <c r="J444" s="122" t="s">
        <v>284</v>
      </c>
      <c r="K444" s="107" t="s">
        <v>228</v>
      </c>
      <c r="L444" s="445">
        <v>8.4499999999999993</v>
      </c>
      <c r="M444" s="440" t="s">
        <v>229</v>
      </c>
    </row>
    <row r="445" spans="1:13">
      <c r="A445" s="450" t="s">
        <v>836</v>
      </c>
      <c r="B445" s="440" t="s">
        <v>456</v>
      </c>
      <c r="C445" s="437">
        <v>8351</v>
      </c>
      <c r="D445" s="437" t="s">
        <v>848</v>
      </c>
      <c r="E445" s="437" t="s">
        <v>895</v>
      </c>
      <c r="F445" s="124" t="s">
        <v>511</v>
      </c>
      <c r="G445" s="455" t="s">
        <v>490</v>
      </c>
      <c r="H445" s="122" t="s">
        <v>237</v>
      </c>
      <c r="I445" s="452" t="s">
        <v>283</v>
      </c>
      <c r="J445" s="122" t="s">
        <v>284</v>
      </c>
      <c r="K445" s="107" t="s">
        <v>228</v>
      </c>
      <c r="L445" s="445">
        <v>8.4499999999999993</v>
      </c>
      <c r="M445" s="440" t="s">
        <v>229</v>
      </c>
    </row>
    <row r="446" spans="1:13">
      <c r="A446" s="450" t="s">
        <v>836</v>
      </c>
      <c r="B446" s="440" t="s">
        <v>456</v>
      </c>
      <c r="C446" s="437">
        <v>8370</v>
      </c>
      <c r="D446" s="437" t="s">
        <v>848</v>
      </c>
      <c r="E446" s="437" t="s">
        <v>895</v>
      </c>
      <c r="F446" s="124" t="s">
        <v>512</v>
      </c>
      <c r="G446" s="455" t="s">
        <v>490</v>
      </c>
      <c r="H446" s="122" t="s">
        <v>237</v>
      </c>
      <c r="I446" s="452" t="s">
        <v>283</v>
      </c>
      <c r="J446" s="122" t="s">
        <v>284</v>
      </c>
      <c r="K446" s="107" t="s">
        <v>228</v>
      </c>
      <c r="L446" s="445">
        <v>8.4499999999999993</v>
      </c>
      <c r="M446" s="440" t="s">
        <v>229</v>
      </c>
    </row>
    <row r="447" spans="1:13">
      <c r="A447" s="450" t="s">
        <v>836</v>
      </c>
      <c r="B447" s="440" t="s">
        <v>456</v>
      </c>
      <c r="C447" s="437">
        <v>8001</v>
      </c>
      <c r="D447" s="437" t="s">
        <v>848</v>
      </c>
      <c r="E447" s="437" t="s">
        <v>895</v>
      </c>
      <c r="F447" s="105" t="s">
        <v>854</v>
      </c>
      <c r="G447" s="455" t="s">
        <v>490</v>
      </c>
      <c r="H447" s="122" t="s">
        <v>237</v>
      </c>
      <c r="I447" s="452" t="s">
        <v>283</v>
      </c>
      <c r="J447" s="122" t="s">
        <v>284</v>
      </c>
      <c r="K447" s="107" t="s">
        <v>228</v>
      </c>
      <c r="L447" s="445">
        <v>8.4499999999999993</v>
      </c>
      <c r="M447" s="440" t="s">
        <v>229</v>
      </c>
    </row>
    <row r="448" spans="1:13">
      <c r="A448" s="450" t="s">
        <v>836</v>
      </c>
      <c r="B448" s="440" t="s">
        <v>456</v>
      </c>
      <c r="C448" s="437">
        <v>8002</v>
      </c>
      <c r="D448" s="437" t="s">
        <v>848</v>
      </c>
      <c r="E448" s="437" t="s">
        <v>895</v>
      </c>
      <c r="F448" s="124" t="s">
        <v>492</v>
      </c>
      <c r="G448" s="455" t="s">
        <v>490</v>
      </c>
      <c r="H448" s="122" t="s">
        <v>237</v>
      </c>
      <c r="I448" s="452" t="s">
        <v>283</v>
      </c>
      <c r="J448" s="122" t="s">
        <v>284</v>
      </c>
      <c r="K448" s="107" t="s">
        <v>228</v>
      </c>
      <c r="L448" s="445">
        <v>8.4499999999999993</v>
      </c>
      <c r="M448" s="440" t="s">
        <v>229</v>
      </c>
    </row>
    <row r="449" spans="1:13">
      <c r="A449" s="450" t="s">
        <v>836</v>
      </c>
      <c r="B449" s="440" t="s">
        <v>456</v>
      </c>
      <c r="C449" s="437">
        <v>8009</v>
      </c>
      <c r="D449" s="437" t="s">
        <v>848</v>
      </c>
      <c r="E449" s="437" t="s">
        <v>895</v>
      </c>
      <c r="F449" s="124" t="s">
        <v>492</v>
      </c>
      <c r="G449" s="455" t="s">
        <v>490</v>
      </c>
      <c r="H449" s="122" t="s">
        <v>237</v>
      </c>
      <c r="I449" s="452" t="s">
        <v>283</v>
      </c>
      <c r="J449" s="122" t="s">
        <v>284</v>
      </c>
      <c r="K449" s="107" t="s">
        <v>228</v>
      </c>
      <c r="L449" s="445">
        <v>8.4499999999999993</v>
      </c>
      <c r="M449" s="440" t="s">
        <v>229</v>
      </c>
    </row>
    <row r="450" spans="1:13">
      <c r="A450" s="450" t="s">
        <v>836</v>
      </c>
      <c r="B450" s="440" t="s">
        <v>456</v>
      </c>
      <c r="C450" s="437" t="s">
        <v>1077</v>
      </c>
      <c r="D450" s="437" t="s">
        <v>848</v>
      </c>
      <c r="E450" s="437" t="s">
        <v>895</v>
      </c>
      <c r="F450" s="124" t="s">
        <v>1078</v>
      </c>
      <c r="G450" s="455" t="s">
        <v>490</v>
      </c>
      <c r="H450" s="122" t="s">
        <v>237</v>
      </c>
      <c r="I450" s="452" t="s">
        <v>283</v>
      </c>
      <c r="J450" s="122" t="s">
        <v>284</v>
      </c>
      <c r="K450" s="107" t="s">
        <v>228</v>
      </c>
      <c r="L450" s="445">
        <v>8.4499999999999993</v>
      </c>
      <c r="M450" s="440" t="s">
        <v>229</v>
      </c>
    </row>
    <row r="451" spans="1:13">
      <c r="A451" s="450" t="s">
        <v>836</v>
      </c>
      <c r="B451" s="440" t="s">
        <v>456</v>
      </c>
      <c r="C451" s="437">
        <v>8021</v>
      </c>
      <c r="D451" s="437" t="s">
        <v>848</v>
      </c>
      <c r="E451" s="437" t="s">
        <v>895</v>
      </c>
      <c r="F451" s="105" t="s">
        <v>855</v>
      </c>
      <c r="G451" s="455" t="s">
        <v>490</v>
      </c>
      <c r="H451" s="122" t="s">
        <v>237</v>
      </c>
      <c r="I451" s="452" t="s">
        <v>283</v>
      </c>
      <c r="J451" s="122" t="s">
        <v>284</v>
      </c>
      <c r="K451" s="107" t="s">
        <v>228</v>
      </c>
      <c r="L451" s="445">
        <v>8.4499999999999993</v>
      </c>
      <c r="M451" s="440" t="s">
        <v>229</v>
      </c>
    </row>
    <row r="452" spans="1:13">
      <c r="A452" s="450" t="s">
        <v>836</v>
      </c>
      <c r="B452" s="440" t="s">
        <v>456</v>
      </c>
      <c r="C452" s="437" t="s">
        <v>1079</v>
      </c>
      <c r="D452" s="437" t="s">
        <v>848</v>
      </c>
      <c r="E452" s="122" t="s">
        <v>800</v>
      </c>
      <c r="F452" s="105" t="s">
        <v>1080</v>
      </c>
      <c r="G452" s="455" t="s">
        <v>490</v>
      </c>
      <c r="H452" s="122" t="s">
        <v>237</v>
      </c>
      <c r="I452" s="452" t="s">
        <v>283</v>
      </c>
      <c r="J452" s="122" t="s">
        <v>284</v>
      </c>
      <c r="K452" s="107" t="s">
        <v>228</v>
      </c>
      <c r="L452" s="445">
        <v>8.4499999999999993</v>
      </c>
      <c r="M452" s="446" t="s">
        <v>229</v>
      </c>
    </row>
    <row r="453" spans="1:13">
      <c r="A453" s="450" t="s">
        <v>836</v>
      </c>
      <c r="B453" s="440" t="s">
        <v>456</v>
      </c>
      <c r="C453" s="437">
        <v>8051</v>
      </c>
      <c r="D453" s="437" t="s">
        <v>848</v>
      </c>
      <c r="E453" s="437" t="s">
        <v>895</v>
      </c>
      <c r="F453" s="105" t="s">
        <v>497</v>
      </c>
      <c r="G453" s="455" t="s">
        <v>490</v>
      </c>
      <c r="H453" s="122" t="s">
        <v>237</v>
      </c>
      <c r="I453" s="452" t="s">
        <v>283</v>
      </c>
      <c r="J453" s="122" t="s">
        <v>284</v>
      </c>
      <c r="K453" s="107" t="s">
        <v>228</v>
      </c>
      <c r="L453" s="445">
        <v>8.4499999999999993</v>
      </c>
      <c r="M453" s="440" t="s">
        <v>229</v>
      </c>
    </row>
    <row r="454" spans="1:13">
      <c r="A454" s="450" t="s">
        <v>836</v>
      </c>
      <c r="B454" s="440" t="s">
        <v>456</v>
      </c>
      <c r="C454" s="437">
        <v>8071</v>
      </c>
      <c r="D454" s="437" t="s">
        <v>848</v>
      </c>
      <c r="E454" s="437" t="s">
        <v>895</v>
      </c>
      <c r="F454" s="105" t="s">
        <v>498</v>
      </c>
      <c r="G454" s="455" t="s">
        <v>490</v>
      </c>
      <c r="H454" s="122" t="s">
        <v>237</v>
      </c>
      <c r="I454" s="452" t="s">
        <v>283</v>
      </c>
      <c r="J454" s="122" t="s">
        <v>284</v>
      </c>
      <c r="K454" s="107" t="s">
        <v>228</v>
      </c>
      <c r="L454" s="445">
        <v>8.4499999999999993</v>
      </c>
      <c r="M454" s="440" t="s">
        <v>229</v>
      </c>
    </row>
    <row r="455" spans="1:13">
      <c r="A455" s="450" t="s">
        <v>836</v>
      </c>
      <c r="B455" s="440" t="s">
        <v>456</v>
      </c>
      <c r="C455" s="437">
        <v>8085</v>
      </c>
      <c r="D455" s="437" t="s">
        <v>848</v>
      </c>
      <c r="E455" s="437" t="s">
        <v>895</v>
      </c>
      <c r="F455" s="105" t="s">
        <v>505</v>
      </c>
      <c r="G455" s="455" t="s">
        <v>490</v>
      </c>
      <c r="H455" s="122" t="s">
        <v>237</v>
      </c>
      <c r="I455" s="452" t="s">
        <v>283</v>
      </c>
      <c r="J455" s="122" t="s">
        <v>284</v>
      </c>
      <c r="K455" s="107" t="s">
        <v>228</v>
      </c>
      <c r="L455" s="445">
        <v>8.4499999999999993</v>
      </c>
      <c r="M455" s="440" t="s">
        <v>229</v>
      </c>
    </row>
    <row r="456" spans="1:13">
      <c r="A456" s="450" t="s">
        <v>836</v>
      </c>
      <c r="B456" s="440" t="s">
        <v>456</v>
      </c>
      <c r="C456" s="437">
        <v>8302</v>
      </c>
      <c r="D456" s="437" t="s">
        <v>848</v>
      </c>
      <c r="E456" s="437" t="s">
        <v>895</v>
      </c>
      <c r="F456" s="105" t="s">
        <v>508</v>
      </c>
      <c r="G456" s="455" t="s">
        <v>490</v>
      </c>
      <c r="H456" s="122" t="s">
        <v>237</v>
      </c>
      <c r="I456" s="452" t="s">
        <v>283</v>
      </c>
      <c r="J456" s="122" t="s">
        <v>284</v>
      </c>
      <c r="K456" s="107" t="s">
        <v>228</v>
      </c>
      <c r="L456" s="445">
        <v>8.4499999999999993</v>
      </c>
      <c r="M456" s="440" t="s">
        <v>229</v>
      </c>
    </row>
    <row r="457" spans="1:13">
      <c r="A457" s="450" t="s">
        <v>836</v>
      </c>
      <c r="B457" s="440" t="s">
        <v>456</v>
      </c>
      <c r="C457" s="437">
        <v>8310</v>
      </c>
      <c r="D457" s="437" t="s">
        <v>848</v>
      </c>
      <c r="E457" s="437" t="s">
        <v>895</v>
      </c>
      <c r="F457" s="124" t="s">
        <v>509</v>
      </c>
      <c r="G457" s="455" t="s">
        <v>490</v>
      </c>
      <c r="H457" s="122" t="s">
        <v>237</v>
      </c>
      <c r="I457" s="452" t="s">
        <v>283</v>
      </c>
      <c r="J457" s="122" t="s">
        <v>284</v>
      </c>
      <c r="K457" s="107" t="s">
        <v>228</v>
      </c>
      <c r="L457" s="445">
        <v>8.4499999999999993</v>
      </c>
      <c r="M457" s="440" t="s">
        <v>229</v>
      </c>
    </row>
    <row r="458" spans="1:13">
      <c r="A458" s="450" t="s">
        <v>836</v>
      </c>
      <c r="B458" s="440" t="s">
        <v>456</v>
      </c>
      <c r="C458" s="437" t="s">
        <v>1081</v>
      </c>
      <c r="D458" s="437" t="s">
        <v>848</v>
      </c>
      <c r="E458" s="122" t="s">
        <v>800</v>
      </c>
      <c r="F458" s="124" t="s">
        <v>1082</v>
      </c>
      <c r="G458" s="455" t="s">
        <v>490</v>
      </c>
      <c r="H458" s="122" t="s">
        <v>237</v>
      </c>
      <c r="I458" s="452" t="s">
        <v>283</v>
      </c>
      <c r="J458" s="122" t="s">
        <v>284</v>
      </c>
      <c r="K458" s="107" t="s">
        <v>228</v>
      </c>
      <c r="L458" s="445">
        <v>8.4499999999999993</v>
      </c>
      <c r="M458" s="440" t="s">
        <v>229</v>
      </c>
    </row>
    <row r="459" spans="1:13">
      <c r="A459" s="450" t="s">
        <v>836</v>
      </c>
      <c r="B459" s="440" t="s">
        <v>456</v>
      </c>
      <c r="C459" s="437">
        <v>8350</v>
      </c>
      <c r="D459" s="437" t="s">
        <v>848</v>
      </c>
      <c r="E459" s="437" t="s">
        <v>895</v>
      </c>
      <c r="F459" s="124" t="s">
        <v>510</v>
      </c>
      <c r="G459" s="455" t="s">
        <v>490</v>
      </c>
      <c r="H459" s="122" t="s">
        <v>237</v>
      </c>
      <c r="I459" s="452" t="s">
        <v>283</v>
      </c>
      <c r="J459" s="122" t="s">
        <v>284</v>
      </c>
      <c r="K459" s="107" t="s">
        <v>228</v>
      </c>
      <c r="L459" s="445">
        <v>8.4499999999999993</v>
      </c>
      <c r="M459" s="440" t="s">
        <v>229</v>
      </c>
    </row>
    <row r="460" spans="1:13">
      <c r="A460" s="450" t="s">
        <v>836</v>
      </c>
      <c r="B460" s="440" t="s">
        <v>456</v>
      </c>
      <c r="C460" s="437" t="s">
        <v>1083</v>
      </c>
      <c r="D460" s="437" t="s">
        <v>848</v>
      </c>
      <c r="E460" s="437" t="s">
        <v>895</v>
      </c>
      <c r="F460" s="124" t="s">
        <v>1084</v>
      </c>
      <c r="G460" s="455" t="s">
        <v>490</v>
      </c>
      <c r="H460" s="122" t="s">
        <v>237</v>
      </c>
      <c r="I460" s="452" t="s">
        <v>283</v>
      </c>
      <c r="J460" s="122" t="s">
        <v>284</v>
      </c>
      <c r="K460" s="107" t="s">
        <v>228</v>
      </c>
      <c r="L460" s="445">
        <v>8.4499999999999993</v>
      </c>
      <c r="M460" s="440" t="s">
        <v>229</v>
      </c>
    </row>
    <row r="461" spans="1:13">
      <c r="A461" s="450" t="s">
        <v>836</v>
      </c>
      <c r="B461" s="440" t="s">
        <v>456</v>
      </c>
      <c r="C461" s="437" t="s">
        <v>1085</v>
      </c>
      <c r="D461" s="437" t="s">
        <v>848</v>
      </c>
      <c r="E461" s="122" t="s">
        <v>800</v>
      </c>
      <c r="F461" s="124" t="s">
        <v>1086</v>
      </c>
      <c r="G461" s="455" t="s">
        <v>490</v>
      </c>
      <c r="H461" s="122" t="s">
        <v>237</v>
      </c>
      <c r="I461" s="452" t="s">
        <v>283</v>
      </c>
      <c r="J461" s="122" t="s">
        <v>284</v>
      </c>
      <c r="K461" s="107" t="s">
        <v>228</v>
      </c>
      <c r="L461" s="445">
        <v>8.4499999999999993</v>
      </c>
      <c r="M461" s="440" t="s">
        <v>229</v>
      </c>
    </row>
    <row r="462" spans="1:13">
      <c r="A462" s="450" t="s">
        <v>836</v>
      </c>
      <c r="B462" s="440" t="s">
        <v>456</v>
      </c>
      <c r="C462" s="437">
        <v>8015</v>
      </c>
      <c r="D462" s="437" t="s">
        <v>848</v>
      </c>
      <c r="E462" s="437" t="s">
        <v>895</v>
      </c>
      <c r="F462" s="105" t="s">
        <v>494</v>
      </c>
      <c r="G462" s="455" t="s">
        <v>490</v>
      </c>
      <c r="H462" s="122" t="s">
        <v>237</v>
      </c>
      <c r="I462" s="452" t="s">
        <v>283</v>
      </c>
      <c r="J462" s="122" t="s">
        <v>284</v>
      </c>
      <c r="K462" s="107" t="s">
        <v>228</v>
      </c>
      <c r="L462" s="445">
        <v>8.4499999999999993</v>
      </c>
      <c r="M462" s="440" t="s">
        <v>229</v>
      </c>
    </row>
    <row r="463" spans="1:13">
      <c r="A463" s="450" t="s">
        <v>836</v>
      </c>
      <c r="B463" s="440" t="s">
        <v>456</v>
      </c>
      <c r="C463" s="437">
        <v>8072</v>
      </c>
      <c r="D463" s="437" t="s">
        <v>848</v>
      </c>
      <c r="E463" s="437" t="s">
        <v>895</v>
      </c>
      <c r="F463" s="105" t="s">
        <v>856</v>
      </c>
      <c r="G463" s="455" t="s">
        <v>490</v>
      </c>
      <c r="H463" s="122" t="s">
        <v>237</v>
      </c>
      <c r="I463" s="452" t="s">
        <v>283</v>
      </c>
      <c r="J463" s="122" t="s">
        <v>284</v>
      </c>
      <c r="K463" s="107" t="s">
        <v>228</v>
      </c>
      <c r="L463" s="445">
        <v>8.4499999999999993</v>
      </c>
      <c r="M463" s="440" t="s">
        <v>229</v>
      </c>
    </row>
    <row r="464" spans="1:13">
      <c r="A464" s="450" t="s">
        <v>836</v>
      </c>
      <c r="B464" s="440" t="s">
        <v>456</v>
      </c>
      <c r="C464" s="437">
        <v>8201</v>
      </c>
      <c r="D464" s="437" t="s">
        <v>848</v>
      </c>
      <c r="E464" s="437" t="s">
        <v>895</v>
      </c>
      <c r="F464" s="105" t="s">
        <v>857</v>
      </c>
      <c r="G464" s="455" t="s">
        <v>490</v>
      </c>
      <c r="H464" s="122" t="s">
        <v>237</v>
      </c>
      <c r="I464" s="452" t="s">
        <v>283</v>
      </c>
      <c r="J464" s="122" t="s">
        <v>284</v>
      </c>
      <c r="K464" s="107" t="s">
        <v>228</v>
      </c>
      <c r="L464" s="445">
        <v>8.4499999999999993</v>
      </c>
      <c r="M464" s="440" t="s">
        <v>229</v>
      </c>
    </row>
    <row r="465" spans="1:13">
      <c r="A465" s="450" t="s">
        <v>836</v>
      </c>
      <c r="B465" s="440" t="s">
        <v>456</v>
      </c>
      <c r="C465" s="437" t="s">
        <v>491</v>
      </c>
      <c r="D465" s="437" t="s">
        <v>848</v>
      </c>
      <c r="E465" s="122" t="s">
        <v>800</v>
      </c>
      <c r="F465" s="105" t="s">
        <v>854</v>
      </c>
      <c r="G465" s="455" t="s">
        <v>490</v>
      </c>
      <c r="H465" s="122" t="s">
        <v>237</v>
      </c>
      <c r="I465" s="452" t="s">
        <v>283</v>
      </c>
      <c r="J465" s="122" t="s">
        <v>284</v>
      </c>
      <c r="K465" s="107" t="s">
        <v>228</v>
      </c>
      <c r="L465" s="445">
        <v>8.4499999999999993</v>
      </c>
      <c r="M465" s="440" t="s">
        <v>229</v>
      </c>
    </row>
    <row r="466" spans="1:13">
      <c r="A466" s="450" t="s">
        <v>836</v>
      </c>
      <c r="B466" s="440" t="s">
        <v>456</v>
      </c>
      <c r="C466" s="437" t="s">
        <v>495</v>
      </c>
      <c r="D466" s="437" t="s">
        <v>848</v>
      </c>
      <c r="E466" s="122" t="s">
        <v>800</v>
      </c>
      <c r="F466" s="105" t="s">
        <v>855</v>
      </c>
      <c r="G466" s="455" t="s">
        <v>490</v>
      </c>
      <c r="H466" s="122" t="s">
        <v>237</v>
      </c>
      <c r="I466" s="452" t="s">
        <v>283</v>
      </c>
      <c r="J466" s="122" t="s">
        <v>284</v>
      </c>
      <c r="K466" s="107" t="s">
        <v>228</v>
      </c>
      <c r="L466" s="445">
        <v>8.4499999999999993</v>
      </c>
      <c r="M466" s="440" t="s">
        <v>229</v>
      </c>
    </row>
    <row r="467" spans="1:13">
      <c r="A467" s="450" t="s">
        <v>836</v>
      </c>
      <c r="B467" s="440" t="s">
        <v>456</v>
      </c>
      <c r="C467" s="437" t="s">
        <v>1087</v>
      </c>
      <c r="D467" s="437" t="s">
        <v>848</v>
      </c>
      <c r="E467" s="122" t="s">
        <v>800</v>
      </c>
      <c r="F467" s="105" t="s">
        <v>1088</v>
      </c>
      <c r="G467" s="455" t="s">
        <v>490</v>
      </c>
      <c r="H467" s="122" t="s">
        <v>237</v>
      </c>
      <c r="I467" s="452" t="s">
        <v>283</v>
      </c>
      <c r="J467" s="122" t="s">
        <v>284</v>
      </c>
      <c r="K467" s="107" t="s">
        <v>228</v>
      </c>
      <c r="L467" s="445">
        <v>8.4499999999999993</v>
      </c>
      <c r="M467" s="440" t="s">
        <v>229</v>
      </c>
    </row>
    <row r="468" spans="1:13">
      <c r="A468" s="450" t="s">
        <v>836</v>
      </c>
      <c r="B468" s="440" t="s">
        <v>456</v>
      </c>
      <c r="C468" s="437" t="s">
        <v>499</v>
      </c>
      <c r="D468" s="437" t="s">
        <v>848</v>
      </c>
      <c r="E468" s="122" t="s">
        <v>800</v>
      </c>
      <c r="F468" s="105" t="s">
        <v>498</v>
      </c>
      <c r="G468" s="455" t="s">
        <v>490</v>
      </c>
      <c r="H468" s="122" t="s">
        <v>237</v>
      </c>
      <c r="I468" s="452" t="s">
        <v>283</v>
      </c>
      <c r="J468" s="122" t="s">
        <v>284</v>
      </c>
      <c r="K468" s="107" t="s">
        <v>228</v>
      </c>
      <c r="L468" s="445">
        <v>8.4499999999999993</v>
      </c>
      <c r="M468" s="440" t="s">
        <v>229</v>
      </c>
    </row>
    <row r="469" spans="1:13">
      <c r="A469" s="450" t="s">
        <v>836</v>
      </c>
      <c r="B469" s="440" t="s">
        <v>456</v>
      </c>
      <c r="C469" s="437" t="s">
        <v>500</v>
      </c>
      <c r="D469" s="437" t="s">
        <v>848</v>
      </c>
      <c r="E469" s="122" t="s">
        <v>800</v>
      </c>
      <c r="F469" s="105" t="s">
        <v>856</v>
      </c>
      <c r="G469" s="455" t="s">
        <v>490</v>
      </c>
      <c r="H469" s="122" t="s">
        <v>237</v>
      </c>
      <c r="I469" s="452" t="s">
        <v>283</v>
      </c>
      <c r="J469" s="122" t="s">
        <v>284</v>
      </c>
      <c r="K469" s="107" t="s">
        <v>228</v>
      </c>
      <c r="L469" s="445">
        <v>8.4499999999999993</v>
      </c>
      <c r="M469" s="440" t="s">
        <v>229</v>
      </c>
    </row>
    <row r="470" spans="1:13">
      <c r="A470" s="450" t="s">
        <v>836</v>
      </c>
      <c r="B470" s="440" t="s">
        <v>456</v>
      </c>
      <c r="C470" s="437" t="s">
        <v>528</v>
      </c>
      <c r="D470" s="437" t="s">
        <v>848</v>
      </c>
      <c r="E470" s="122" t="s">
        <v>800</v>
      </c>
      <c r="F470" s="105" t="s">
        <v>529</v>
      </c>
      <c r="G470" s="455" t="s">
        <v>490</v>
      </c>
      <c r="H470" s="122" t="s">
        <v>237</v>
      </c>
      <c r="I470" s="452" t="s">
        <v>283</v>
      </c>
      <c r="J470" s="122" t="s">
        <v>284</v>
      </c>
      <c r="K470" s="107" t="s">
        <v>228</v>
      </c>
      <c r="L470" s="445">
        <v>8.4499999999999993</v>
      </c>
      <c r="M470" s="440" t="s">
        <v>229</v>
      </c>
    </row>
    <row r="471" spans="1:13">
      <c r="A471" s="450" t="s">
        <v>836</v>
      </c>
      <c r="B471" s="440" t="s">
        <v>456</v>
      </c>
      <c r="C471" s="437" t="s">
        <v>1089</v>
      </c>
      <c r="D471" s="437" t="s">
        <v>848</v>
      </c>
      <c r="E471" s="437" t="s">
        <v>895</v>
      </c>
      <c r="F471" s="105" t="s">
        <v>1090</v>
      </c>
      <c r="G471" s="455" t="s">
        <v>490</v>
      </c>
      <c r="H471" s="122" t="s">
        <v>237</v>
      </c>
      <c r="I471" s="452" t="s">
        <v>283</v>
      </c>
      <c r="J471" s="122" t="s">
        <v>284</v>
      </c>
      <c r="K471" s="107" t="s">
        <v>228</v>
      </c>
      <c r="L471" s="445">
        <v>8.4499999999999993</v>
      </c>
      <c r="M471" s="440" t="s">
        <v>229</v>
      </c>
    </row>
    <row r="472" spans="1:13">
      <c r="A472" s="450" t="s">
        <v>836</v>
      </c>
      <c r="B472" s="440" t="s">
        <v>456</v>
      </c>
      <c r="C472" s="437" t="s">
        <v>858</v>
      </c>
      <c r="D472" s="437" t="s">
        <v>848</v>
      </c>
      <c r="E472" s="122" t="s">
        <v>800</v>
      </c>
      <c r="F472" s="105" t="s">
        <v>859</v>
      </c>
      <c r="G472" s="455" t="s">
        <v>490</v>
      </c>
      <c r="H472" s="122" t="s">
        <v>237</v>
      </c>
      <c r="I472" s="452" t="s">
        <v>283</v>
      </c>
      <c r="J472" s="122" t="s">
        <v>284</v>
      </c>
      <c r="K472" s="107" t="s">
        <v>228</v>
      </c>
      <c r="L472" s="445">
        <v>8.4499999999999993</v>
      </c>
      <c r="M472" s="440" t="s">
        <v>229</v>
      </c>
    </row>
    <row r="473" spans="1:13">
      <c r="A473" s="450" t="s">
        <v>836</v>
      </c>
      <c r="B473" s="440" t="s">
        <v>456</v>
      </c>
      <c r="C473" s="437">
        <v>8075</v>
      </c>
      <c r="D473" s="437" t="s">
        <v>848</v>
      </c>
      <c r="E473" s="437" t="s">
        <v>895</v>
      </c>
      <c r="F473" s="105" t="s">
        <v>503</v>
      </c>
      <c r="G473" s="455" t="s">
        <v>490</v>
      </c>
      <c r="H473" s="122" t="s">
        <v>237</v>
      </c>
      <c r="I473" s="452" t="s">
        <v>283</v>
      </c>
      <c r="J473" s="122" t="s">
        <v>284</v>
      </c>
      <c r="K473" s="107" t="s">
        <v>228</v>
      </c>
      <c r="L473" s="445">
        <v>8.4499999999999993</v>
      </c>
      <c r="M473" s="440" t="s">
        <v>229</v>
      </c>
    </row>
    <row r="474" spans="1:13">
      <c r="A474" s="450" t="s">
        <v>836</v>
      </c>
      <c r="B474" s="440" t="s">
        <v>456</v>
      </c>
      <c r="C474" s="437" t="s">
        <v>1091</v>
      </c>
      <c r="D474" s="437" t="s">
        <v>848</v>
      </c>
      <c r="E474" s="122" t="s">
        <v>800</v>
      </c>
      <c r="F474" s="105" t="s">
        <v>1092</v>
      </c>
      <c r="G474" s="455" t="s">
        <v>490</v>
      </c>
      <c r="H474" s="122" t="s">
        <v>237</v>
      </c>
      <c r="I474" s="452" t="s">
        <v>283</v>
      </c>
      <c r="J474" s="122" t="s">
        <v>284</v>
      </c>
      <c r="K474" s="107" t="s">
        <v>228</v>
      </c>
      <c r="L474" s="445">
        <v>8.4499999999999993</v>
      </c>
      <c r="M474" s="440" t="s">
        <v>229</v>
      </c>
    </row>
    <row r="475" spans="1:13">
      <c r="A475" s="450" t="s">
        <v>836</v>
      </c>
      <c r="B475" s="440" t="s">
        <v>456</v>
      </c>
      <c r="C475" s="437" t="s">
        <v>1093</v>
      </c>
      <c r="D475" s="437" t="s">
        <v>848</v>
      </c>
      <c r="E475" s="122" t="s">
        <v>800</v>
      </c>
      <c r="F475" s="105" t="s">
        <v>1094</v>
      </c>
      <c r="G475" s="455" t="s">
        <v>490</v>
      </c>
      <c r="H475" s="122" t="s">
        <v>237</v>
      </c>
      <c r="I475" s="452" t="s">
        <v>283</v>
      </c>
      <c r="J475" s="122" t="s">
        <v>284</v>
      </c>
      <c r="K475" s="107" t="s">
        <v>228</v>
      </c>
      <c r="L475" s="445">
        <v>8.4499999999999993</v>
      </c>
      <c r="M475" s="440" t="s">
        <v>229</v>
      </c>
    </row>
    <row r="476" spans="1:13">
      <c r="A476" s="450" t="s">
        <v>836</v>
      </c>
      <c r="B476" s="440" t="s">
        <v>456</v>
      </c>
      <c r="C476" s="437">
        <v>8086</v>
      </c>
      <c r="D476" s="437" t="s">
        <v>848</v>
      </c>
      <c r="E476" s="437" t="s">
        <v>895</v>
      </c>
      <c r="F476" s="124" t="s">
        <v>506</v>
      </c>
      <c r="G476" s="455" t="s">
        <v>490</v>
      </c>
      <c r="H476" s="122" t="s">
        <v>237</v>
      </c>
      <c r="I476" s="452" t="s">
        <v>283</v>
      </c>
      <c r="J476" s="122" t="s">
        <v>284</v>
      </c>
      <c r="K476" s="107" t="s">
        <v>228</v>
      </c>
      <c r="L476" s="445">
        <v>8.4499999999999993</v>
      </c>
      <c r="M476" s="440" t="s">
        <v>229</v>
      </c>
    </row>
    <row r="477" spans="1:13">
      <c r="A477" s="450" t="s">
        <v>836</v>
      </c>
      <c r="B477" s="440" t="s">
        <v>456</v>
      </c>
      <c r="C477" s="437">
        <v>8087</v>
      </c>
      <c r="D477" s="437" t="s">
        <v>848</v>
      </c>
      <c r="E477" s="437" t="s">
        <v>895</v>
      </c>
      <c r="F477" s="140" t="s">
        <v>507</v>
      </c>
      <c r="G477" s="455" t="s">
        <v>490</v>
      </c>
      <c r="H477" s="122" t="s">
        <v>237</v>
      </c>
      <c r="I477" s="452" t="s">
        <v>283</v>
      </c>
      <c r="J477" s="122" t="s">
        <v>284</v>
      </c>
      <c r="K477" s="107" t="s">
        <v>228</v>
      </c>
      <c r="L477" s="445">
        <v>8.4499999999999993</v>
      </c>
      <c r="M477" s="440" t="s">
        <v>229</v>
      </c>
    </row>
    <row r="478" spans="1:13">
      <c r="A478" s="450" t="s">
        <v>836</v>
      </c>
      <c r="B478" s="440" t="s">
        <v>456</v>
      </c>
      <c r="C478" s="437" t="s">
        <v>1095</v>
      </c>
      <c r="D478" s="437" t="s">
        <v>848</v>
      </c>
      <c r="E478" s="122" t="s">
        <v>800</v>
      </c>
      <c r="F478" s="140" t="s">
        <v>1096</v>
      </c>
      <c r="G478" s="455" t="s">
        <v>490</v>
      </c>
      <c r="H478" s="122" t="s">
        <v>237</v>
      </c>
      <c r="I478" s="452" t="s">
        <v>283</v>
      </c>
      <c r="J478" s="122" t="s">
        <v>284</v>
      </c>
      <c r="K478" s="107" t="s">
        <v>228</v>
      </c>
      <c r="L478" s="445">
        <v>8.4499999999999993</v>
      </c>
      <c r="M478" s="440" t="s">
        <v>229</v>
      </c>
    </row>
    <row r="479" spans="1:13">
      <c r="A479" s="450" t="s">
        <v>836</v>
      </c>
      <c r="B479" s="440" t="s">
        <v>456</v>
      </c>
      <c r="C479" s="437">
        <v>8088</v>
      </c>
      <c r="D479" s="437" t="s">
        <v>848</v>
      </c>
      <c r="E479" s="437" t="s">
        <v>895</v>
      </c>
      <c r="F479" s="105" t="s">
        <v>518</v>
      </c>
      <c r="G479" s="455" t="s">
        <v>490</v>
      </c>
      <c r="H479" s="122" t="s">
        <v>237</v>
      </c>
      <c r="I479" s="452" t="s">
        <v>283</v>
      </c>
      <c r="J479" s="122" t="s">
        <v>284</v>
      </c>
      <c r="K479" s="107" t="s">
        <v>228</v>
      </c>
      <c r="L479" s="445">
        <v>8.4499999999999993</v>
      </c>
      <c r="M479" s="440" t="s">
        <v>229</v>
      </c>
    </row>
    <row r="480" spans="1:13">
      <c r="A480" s="450" t="s">
        <v>836</v>
      </c>
      <c r="B480" s="440" t="s">
        <v>456</v>
      </c>
      <c r="C480" s="437" t="s">
        <v>1097</v>
      </c>
      <c r="D480" s="437" t="s">
        <v>848</v>
      </c>
      <c r="E480" s="122" t="s">
        <v>800</v>
      </c>
      <c r="F480" s="105" t="s">
        <v>1098</v>
      </c>
      <c r="G480" s="455" t="s">
        <v>490</v>
      </c>
      <c r="H480" s="122" t="s">
        <v>237</v>
      </c>
      <c r="I480" s="452" t="s">
        <v>283</v>
      </c>
      <c r="J480" s="122" t="s">
        <v>284</v>
      </c>
      <c r="K480" s="107" t="s">
        <v>228</v>
      </c>
      <c r="L480" s="445">
        <v>8.4499999999999993</v>
      </c>
      <c r="M480" s="440" t="s">
        <v>229</v>
      </c>
    </row>
    <row r="481" spans="1:13">
      <c r="A481" s="450" t="s">
        <v>836</v>
      </c>
      <c r="B481" s="440" t="s">
        <v>456</v>
      </c>
      <c r="C481" s="437">
        <v>8025</v>
      </c>
      <c r="D481" s="437" t="s">
        <v>848</v>
      </c>
      <c r="E481" s="437" t="s">
        <v>895</v>
      </c>
      <c r="F481" s="105" t="s">
        <v>591</v>
      </c>
      <c r="G481" s="455" t="s">
        <v>490</v>
      </c>
      <c r="H481" s="122" t="s">
        <v>237</v>
      </c>
      <c r="I481" s="452" t="s">
        <v>283</v>
      </c>
      <c r="J481" s="122" t="s">
        <v>284</v>
      </c>
      <c r="K481" s="107" t="s">
        <v>228</v>
      </c>
      <c r="L481" s="445">
        <v>8.4499999999999993</v>
      </c>
      <c r="M481" s="440" t="s">
        <v>229</v>
      </c>
    </row>
    <row r="482" spans="1:13">
      <c r="A482" s="450" t="s">
        <v>836</v>
      </c>
      <c r="B482" s="440" t="s">
        <v>456</v>
      </c>
      <c r="C482" s="437" t="s">
        <v>1099</v>
      </c>
      <c r="D482" s="437" t="s">
        <v>848</v>
      </c>
      <c r="E482" s="122" t="s">
        <v>800</v>
      </c>
      <c r="F482" s="105" t="s">
        <v>1100</v>
      </c>
      <c r="G482" s="455" t="s">
        <v>490</v>
      </c>
      <c r="H482" s="122" t="s">
        <v>237</v>
      </c>
      <c r="I482" s="452" t="s">
        <v>283</v>
      </c>
      <c r="J482" s="122" t="s">
        <v>284</v>
      </c>
      <c r="K482" s="107" t="s">
        <v>228</v>
      </c>
      <c r="L482" s="445">
        <v>8.4499999999999993</v>
      </c>
      <c r="M482" s="440" t="s">
        <v>229</v>
      </c>
    </row>
    <row r="483" spans="1:13">
      <c r="A483" s="450" t="s">
        <v>836</v>
      </c>
      <c r="B483" s="440" t="s">
        <v>456</v>
      </c>
      <c r="C483" s="437">
        <v>8023</v>
      </c>
      <c r="D483" s="437" t="s">
        <v>848</v>
      </c>
      <c r="E483" s="437" t="s">
        <v>895</v>
      </c>
      <c r="F483" s="105" t="s">
        <v>592</v>
      </c>
      <c r="G483" s="455" t="s">
        <v>490</v>
      </c>
      <c r="H483" s="122" t="s">
        <v>237</v>
      </c>
      <c r="I483" s="452" t="s">
        <v>283</v>
      </c>
      <c r="J483" s="122" t="s">
        <v>284</v>
      </c>
      <c r="K483" s="107" t="s">
        <v>228</v>
      </c>
      <c r="L483" s="445">
        <v>8.4499999999999993</v>
      </c>
      <c r="M483" s="440" t="s">
        <v>229</v>
      </c>
    </row>
    <row r="484" spans="1:13">
      <c r="A484" s="120" t="s">
        <v>836</v>
      </c>
      <c r="B484" s="121" t="s">
        <v>456</v>
      </c>
      <c r="C484" s="115" t="s">
        <v>496</v>
      </c>
      <c r="D484" s="115" t="s">
        <v>860</v>
      </c>
      <c r="E484" s="115" t="s">
        <v>720</v>
      </c>
      <c r="F484" s="105" t="s">
        <v>861</v>
      </c>
      <c r="G484" s="131" t="s">
        <v>490</v>
      </c>
      <c r="H484" s="123" t="s">
        <v>237</v>
      </c>
      <c r="I484" s="133" t="s">
        <v>283</v>
      </c>
      <c r="J484" s="123" t="s">
        <v>284</v>
      </c>
      <c r="K484" s="107" t="s">
        <v>228</v>
      </c>
      <c r="L484" s="424">
        <v>17.05</v>
      </c>
      <c r="M484" s="121" t="s">
        <v>229</v>
      </c>
    </row>
    <row r="485" spans="1:13">
      <c r="A485" s="120" t="s">
        <v>836</v>
      </c>
      <c r="B485" s="121" t="s">
        <v>456</v>
      </c>
      <c r="C485" s="115" t="s">
        <v>514</v>
      </c>
      <c r="D485" s="115" t="s">
        <v>860</v>
      </c>
      <c r="E485" s="115" t="s">
        <v>720</v>
      </c>
      <c r="F485" s="124" t="s">
        <v>493</v>
      </c>
      <c r="G485" s="131" t="s">
        <v>490</v>
      </c>
      <c r="H485" s="123" t="s">
        <v>237</v>
      </c>
      <c r="I485" s="133" t="s">
        <v>283</v>
      </c>
      <c r="J485" s="123" t="s">
        <v>284</v>
      </c>
      <c r="K485" s="107" t="s">
        <v>228</v>
      </c>
      <c r="L485" s="424">
        <v>17.05</v>
      </c>
      <c r="M485" s="121" t="s">
        <v>229</v>
      </c>
    </row>
    <row r="486" spans="1:13">
      <c r="A486" s="120" t="s">
        <v>836</v>
      </c>
      <c r="B486" s="121" t="s">
        <v>456</v>
      </c>
      <c r="C486" s="115" t="s">
        <v>515</v>
      </c>
      <c r="D486" s="115" t="s">
        <v>860</v>
      </c>
      <c r="E486" s="115" t="s">
        <v>720</v>
      </c>
      <c r="F486" s="105" t="s">
        <v>498</v>
      </c>
      <c r="G486" s="131" t="s">
        <v>490</v>
      </c>
      <c r="H486" s="123" t="s">
        <v>237</v>
      </c>
      <c r="I486" s="133" t="s">
        <v>283</v>
      </c>
      <c r="J486" s="123" t="s">
        <v>284</v>
      </c>
      <c r="K486" s="107" t="s">
        <v>228</v>
      </c>
      <c r="L486" s="424">
        <v>17.05</v>
      </c>
      <c r="M486" s="121" t="s">
        <v>229</v>
      </c>
    </row>
    <row r="487" spans="1:13">
      <c r="A487" s="120" t="s">
        <v>836</v>
      </c>
      <c r="B487" s="121" t="s">
        <v>456</v>
      </c>
      <c r="C487" s="115" t="s">
        <v>862</v>
      </c>
      <c r="D487" s="115" t="s">
        <v>863</v>
      </c>
      <c r="E487" s="115" t="s">
        <v>895</v>
      </c>
      <c r="F487" s="105" t="s">
        <v>864</v>
      </c>
      <c r="G487" s="131" t="s">
        <v>490</v>
      </c>
      <c r="H487" s="123" t="s">
        <v>237</v>
      </c>
      <c r="I487" s="96" t="s">
        <v>316</v>
      </c>
      <c r="J487" s="123" t="s">
        <v>284</v>
      </c>
      <c r="K487" s="107" t="s">
        <v>228</v>
      </c>
      <c r="L487" s="424">
        <v>9.75</v>
      </c>
      <c r="M487" s="121" t="s">
        <v>229</v>
      </c>
    </row>
    <row r="488" spans="1:13">
      <c r="A488" s="120" t="s">
        <v>836</v>
      </c>
      <c r="B488" s="121" t="s">
        <v>456</v>
      </c>
      <c r="C488" s="115">
        <v>8701</v>
      </c>
      <c r="D488" s="115">
        <v>12500670</v>
      </c>
      <c r="E488" s="115" t="s">
        <v>895</v>
      </c>
      <c r="F488" s="105" t="s">
        <v>513</v>
      </c>
      <c r="G488" s="131" t="s">
        <v>490</v>
      </c>
      <c r="H488" s="123" t="s">
        <v>237</v>
      </c>
      <c r="I488" s="96" t="s">
        <v>285</v>
      </c>
      <c r="J488" s="123" t="s">
        <v>284</v>
      </c>
      <c r="K488" s="107" t="s">
        <v>228</v>
      </c>
      <c r="L488" s="424">
        <v>5.75</v>
      </c>
      <c r="M488" s="121" t="s">
        <v>229</v>
      </c>
    </row>
    <row r="489" spans="1:13">
      <c r="A489" s="120" t="s">
        <v>836</v>
      </c>
      <c r="B489" s="121" t="s">
        <v>516</v>
      </c>
      <c r="C489" s="115">
        <v>8702</v>
      </c>
      <c r="D489" s="115">
        <v>12500670</v>
      </c>
      <c r="E489" s="115" t="s">
        <v>895</v>
      </c>
      <c r="F489" s="105" t="s">
        <v>517</v>
      </c>
      <c r="G489" s="131" t="s">
        <v>490</v>
      </c>
      <c r="H489" s="123" t="s">
        <v>237</v>
      </c>
      <c r="I489" s="96" t="s">
        <v>285</v>
      </c>
      <c r="J489" s="123" t="s">
        <v>284</v>
      </c>
      <c r="K489" s="107" t="s">
        <v>228</v>
      </c>
      <c r="L489" s="424">
        <v>5.75</v>
      </c>
      <c r="M489" s="121" t="s">
        <v>229</v>
      </c>
    </row>
    <row r="490" spans="1:13">
      <c r="A490" s="120" t="s">
        <v>836</v>
      </c>
      <c r="B490" s="121" t="s">
        <v>516</v>
      </c>
      <c r="C490" s="115" t="s">
        <v>1101</v>
      </c>
      <c r="D490" s="115">
        <v>12500670</v>
      </c>
      <c r="E490" s="115" t="s">
        <v>895</v>
      </c>
      <c r="F490" s="105" t="s">
        <v>1102</v>
      </c>
      <c r="G490" s="131" t="s">
        <v>490</v>
      </c>
      <c r="H490" s="123" t="s">
        <v>237</v>
      </c>
      <c r="I490" s="96" t="s">
        <v>285</v>
      </c>
      <c r="J490" s="123" t="s">
        <v>284</v>
      </c>
      <c r="K490" s="107" t="s">
        <v>228</v>
      </c>
      <c r="L490" s="424">
        <v>5.75</v>
      </c>
      <c r="M490" s="121" t="s">
        <v>229</v>
      </c>
    </row>
    <row r="491" spans="1:13">
      <c r="A491" s="120" t="s">
        <v>836</v>
      </c>
      <c r="B491" s="121" t="s">
        <v>456</v>
      </c>
      <c r="C491" s="115">
        <v>2495</v>
      </c>
      <c r="D491" s="115" t="s">
        <v>1103</v>
      </c>
      <c r="E491" s="115" t="s">
        <v>895</v>
      </c>
      <c r="F491" s="105" t="s">
        <v>519</v>
      </c>
      <c r="G491" s="131" t="s">
        <v>520</v>
      </c>
      <c r="H491" s="123" t="s">
        <v>237</v>
      </c>
      <c r="I491" s="96" t="s">
        <v>521</v>
      </c>
      <c r="J491" s="123" t="s">
        <v>284</v>
      </c>
      <c r="K491" s="107" t="s">
        <v>522</v>
      </c>
      <c r="L491" s="424">
        <v>2.85</v>
      </c>
      <c r="M491" s="121" t="s">
        <v>229</v>
      </c>
    </row>
    <row r="492" spans="1:13">
      <c r="A492" s="120" t="s">
        <v>836</v>
      </c>
      <c r="B492" s="121" t="s">
        <v>456</v>
      </c>
      <c r="C492" s="115" t="s">
        <v>1104</v>
      </c>
      <c r="D492" s="115" t="s">
        <v>1103</v>
      </c>
      <c r="E492" s="115" t="s">
        <v>895</v>
      </c>
      <c r="F492" s="105" t="s">
        <v>1105</v>
      </c>
      <c r="G492" s="131" t="s">
        <v>520</v>
      </c>
      <c r="H492" s="123" t="s">
        <v>237</v>
      </c>
      <c r="I492" s="96" t="s">
        <v>521</v>
      </c>
      <c r="J492" s="123" t="s">
        <v>284</v>
      </c>
      <c r="K492" s="107" t="s">
        <v>522</v>
      </c>
      <c r="L492" s="424">
        <v>2.85</v>
      </c>
      <c r="M492" s="121" t="s">
        <v>229</v>
      </c>
    </row>
    <row r="493" spans="1:13">
      <c r="A493" s="120" t="s">
        <v>836</v>
      </c>
      <c r="B493" s="121" t="s">
        <v>456</v>
      </c>
      <c r="C493" s="115" t="s">
        <v>1106</v>
      </c>
      <c r="D493" s="115" t="s">
        <v>1103</v>
      </c>
      <c r="E493" s="115" t="s">
        <v>895</v>
      </c>
      <c r="F493" s="457" t="s">
        <v>1107</v>
      </c>
      <c r="G493" s="131" t="s">
        <v>520</v>
      </c>
      <c r="H493" s="123" t="s">
        <v>237</v>
      </c>
      <c r="I493" s="96" t="s">
        <v>521</v>
      </c>
      <c r="J493" s="123" t="s">
        <v>284</v>
      </c>
      <c r="K493" s="107" t="s">
        <v>522</v>
      </c>
      <c r="L493" s="424">
        <v>2.85</v>
      </c>
      <c r="M493" s="121" t="s">
        <v>229</v>
      </c>
    </row>
    <row r="494" spans="1:13">
      <c r="A494" s="120" t="s">
        <v>836</v>
      </c>
      <c r="B494" s="121" t="s">
        <v>456</v>
      </c>
      <c r="C494" s="115">
        <v>2891</v>
      </c>
      <c r="D494" s="115">
        <v>12926570</v>
      </c>
      <c r="E494" s="115" t="s">
        <v>895</v>
      </c>
      <c r="F494" s="105" t="s">
        <v>865</v>
      </c>
      <c r="G494" s="131" t="s">
        <v>520</v>
      </c>
      <c r="H494" s="123" t="s">
        <v>237</v>
      </c>
      <c r="I494" s="96" t="s">
        <v>316</v>
      </c>
      <c r="J494" s="123" t="s">
        <v>284</v>
      </c>
      <c r="K494" s="107" t="s">
        <v>522</v>
      </c>
      <c r="L494" s="424">
        <v>9.1</v>
      </c>
      <c r="M494" s="121" t="s">
        <v>229</v>
      </c>
    </row>
    <row r="495" spans="1:13">
      <c r="A495" s="120" t="s">
        <v>836</v>
      </c>
      <c r="B495" s="121" t="s">
        <v>456</v>
      </c>
      <c r="C495" s="115">
        <v>2892</v>
      </c>
      <c r="D495" s="115">
        <v>12926570</v>
      </c>
      <c r="E495" s="115" t="s">
        <v>895</v>
      </c>
      <c r="F495" s="105" t="s">
        <v>866</v>
      </c>
      <c r="G495" s="131" t="s">
        <v>520</v>
      </c>
      <c r="H495" s="123" t="s">
        <v>237</v>
      </c>
      <c r="I495" s="96" t="s">
        <v>316</v>
      </c>
      <c r="J495" s="123" t="s">
        <v>284</v>
      </c>
      <c r="K495" s="107" t="s">
        <v>522</v>
      </c>
      <c r="L495" s="424">
        <v>9.1</v>
      </c>
      <c r="M495" s="121" t="s">
        <v>229</v>
      </c>
    </row>
    <row r="496" spans="1:13">
      <c r="A496" s="120" t="s">
        <v>836</v>
      </c>
      <c r="B496" s="121" t="s">
        <v>456</v>
      </c>
      <c r="C496" s="115">
        <v>2895</v>
      </c>
      <c r="D496" s="115">
        <v>12926570</v>
      </c>
      <c r="E496" s="115" t="s">
        <v>895</v>
      </c>
      <c r="F496" s="105" t="s">
        <v>867</v>
      </c>
      <c r="G496" s="131" t="s">
        <v>520</v>
      </c>
      <c r="H496" s="123" t="s">
        <v>237</v>
      </c>
      <c r="I496" s="96" t="s">
        <v>316</v>
      </c>
      <c r="J496" s="123" t="s">
        <v>284</v>
      </c>
      <c r="K496" s="107" t="s">
        <v>522</v>
      </c>
      <c r="L496" s="424">
        <v>9.1</v>
      </c>
      <c r="M496" s="121" t="s">
        <v>229</v>
      </c>
    </row>
    <row r="497" spans="1:13">
      <c r="A497" s="120" t="s">
        <v>836</v>
      </c>
      <c r="B497" s="121" t="s">
        <v>456</v>
      </c>
      <c r="C497" s="115">
        <v>2897</v>
      </c>
      <c r="D497" s="115">
        <v>12926570</v>
      </c>
      <c r="E497" s="115" t="s">
        <v>895</v>
      </c>
      <c r="F497" s="105" t="s">
        <v>868</v>
      </c>
      <c r="G497" s="131" t="s">
        <v>520</v>
      </c>
      <c r="H497" s="123" t="s">
        <v>237</v>
      </c>
      <c r="I497" s="96" t="s">
        <v>316</v>
      </c>
      <c r="J497" s="123" t="s">
        <v>284</v>
      </c>
      <c r="K497" s="107" t="s">
        <v>522</v>
      </c>
      <c r="L497" s="424">
        <v>9.1</v>
      </c>
      <c r="M497" s="121" t="s">
        <v>229</v>
      </c>
    </row>
    <row r="498" spans="1:13">
      <c r="A498" s="120" t="s">
        <v>836</v>
      </c>
      <c r="B498" s="121" t="s">
        <v>456</v>
      </c>
      <c r="C498" s="115">
        <v>2051</v>
      </c>
      <c r="D498" s="115">
        <v>12926670</v>
      </c>
      <c r="E498" s="115" t="s">
        <v>895</v>
      </c>
      <c r="F498" s="105" t="s">
        <v>869</v>
      </c>
      <c r="G498" s="131" t="s">
        <v>520</v>
      </c>
      <c r="H498" s="123" t="s">
        <v>237</v>
      </c>
      <c r="I498" s="96" t="s">
        <v>283</v>
      </c>
      <c r="J498" s="123" t="s">
        <v>284</v>
      </c>
      <c r="K498" s="107" t="s">
        <v>522</v>
      </c>
      <c r="L498" s="424">
        <v>9.85</v>
      </c>
      <c r="M498" s="121" t="s">
        <v>229</v>
      </c>
    </row>
    <row r="499" spans="1:13">
      <c r="A499" s="120" t="s">
        <v>836</v>
      </c>
      <c r="B499" s="121" t="s">
        <v>456</v>
      </c>
      <c r="C499" s="115">
        <v>2074</v>
      </c>
      <c r="D499" s="115">
        <v>12926670</v>
      </c>
      <c r="E499" s="115" t="s">
        <v>895</v>
      </c>
      <c r="F499" s="105" t="s">
        <v>523</v>
      </c>
      <c r="G499" s="131" t="s">
        <v>520</v>
      </c>
      <c r="H499" s="123" t="s">
        <v>237</v>
      </c>
      <c r="I499" s="96" t="s">
        <v>283</v>
      </c>
      <c r="J499" s="123" t="s">
        <v>284</v>
      </c>
      <c r="K499" s="107" t="s">
        <v>522</v>
      </c>
      <c r="L499" s="424">
        <v>9.85</v>
      </c>
      <c r="M499" s="121" t="s">
        <v>229</v>
      </c>
    </row>
    <row r="500" spans="1:13">
      <c r="A500" s="120" t="s">
        <v>836</v>
      </c>
      <c r="B500" s="121" t="s">
        <v>456</v>
      </c>
      <c r="C500" s="115">
        <v>2075</v>
      </c>
      <c r="D500" s="115">
        <v>12926670</v>
      </c>
      <c r="E500" s="115" t="s">
        <v>895</v>
      </c>
      <c r="F500" s="105" t="s">
        <v>523</v>
      </c>
      <c r="G500" s="131" t="s">
        <v>520</v>
      </c>
      <c r="H500" s="123" t="s">
        <v>237</v>
      </c>
      <c r="I500" s="96" t="s">
        <v>283</v>
      </c>
      <c r="J500" s="123" t="s">
        <v>284</v>
      </c>
      <c r="K500" s="107" t="s">
        <v>522</v>
      </c>
      <c r="L500" s="424">
        <v>9.85</v>
      </c>
      <c r="M500" s="121" t="s">
        <v>229</v>
      </c>
    </row>
    <row r="501" spans="1:13">
      <c r="A501" s="120" t="s">
        <v>836</v>
      </c>
      <c r="B501" s="121" t="s">
        <v>456</v>
      </c>
      <c r="C501" s="115" t="s">
        <v>1108</v>
      </c>
      <c r="D501" s="115">
        <v>12926670</v>
      </c>
      <c r="E501" s="115" t="s">
        <v>895</v>
      </c>
      <c r="F501" s="457" t="s">
        <v>1109</v>
      </c>
      <c r="G501" s="131" t="s">
        <v>520</v>
      </c>
      <c r="H501" s="123" t="s">
        <v>237</v>
      </c>
      <c r="I501" s="96" t="s">
        <v>283</v>
      </c>
      <c r="J501" s="123" t="s">
        <v>284</v>
      </c>
      <c r="K501" s="107" t="s">
        <v>522</v>
      </c>
      <c r="L501" s="424">
        <v>9.85</v>
      </c>
      <c r="M501" s="121" t="s">
        <v>229</v>
      </c>
    </row>
    <row r="502" spans="1:13">
      <c r="A502" s="120" t="s">
        <v>836</v>
      </c>
      <c r="B502" s="121" t="s">
        <v>456</v>
      </c>
      <c r="C502" s="115" t="s">
        <v>1110</v>
      </c>
      <c r="D502" s="115">
        <v>12926670</v>
      </c>
      <c r="E502" s="115" t="s">
        <v>895</v>
      </c>
      <c r="F502" s="105" t="s">
        <v>1111</v>
      </c>
      <c r="G502" s="131" t="s">
        <v>520</v>
      </c>
      <c r="H502" s="123" t="s">
        <v>237</v>
      </c>
      <c r="I502" s="96" t="s">
        <v>283</v>
      </c>
      <c r="J502" s="123" t="s">
        <v>284</v>
      </c>
      <c r="K502" s="107" t="s">
        <v>522</v>
      </c>
      <c r="L502" s="424">
        <v>9.85</v>
      </c>
      <c r="M502" s="121" t="s">
        <v>229</v>
      </c>
    </row>
    <row r="503" spans="1:13">
      <c r="A503" s="120" t="s">
        <v>836</v>
      </c>
      <c r="B503" s="121" t="s">
        <v>456</v>
      </c>
      <c r="C503" s="115">
        <v>2078</v>
      </c>
      <c r="D503" s="115">
        <v>12926670</v>
      </c>
      <c r="E503" s="115" t="s">
        <v>895</v>
      </c>
      <c r="F503" s="105" t="s">
        <v>524</v>
      </c>
      <c r="G503" s="131" t="s">
        <v>520</v>
      </c>
      <c r="H503" s="123" t="s">
        <v>237</v>
      </c>
      <c r="I503" s="96" t="s">
        <v>283</v>
      </c>
      <c r="J503" s="123" t="s">
        <v>284</v>
      </c>
      <c r="K503" s="107" t="s">
        <v>522</v>
      </c>
      <c r="L503" s="424">
        <v>9.85</v>
      </c>
      <c r="M503" s="121" t="s">
        <v>229</v>
      </c>
    </row>
    <row r="504" spans="1:13">
      <c r="A504" s="120" t="s">
        <v>836</v>
      </c>
      <c r="B504" s="121" t="s">
        <v>456</v>
      </c>
      <c r="C504" s="115">
        <v>2079</v>
      </c>
      <c r="D504" s="115">
        <v>12926670</v>
      </c>
      <c r="E504" s="115" t="s">
        <v>895</v>
      </c>
      <c r="F504" s="105" t="s">
        <v>525</v>
      </c>
      <c r="G504" s="131" t="s">
        <v>520</v>
      </c>
      <c r="H504" s="123" t="s">
        <v>237</v>
      </c>
      <c r="I504" s="96" t="s">
        <v>283</v>
      </c>
      <c r="J504" s="123" t="s">
        <v>284</v>
      </c>
      <c r="K504" s="107" t="s">
        <v>522</v>
      </c>
      <c r="L504" s="424">
        <v>9.85</v>
      </c>
      <c r="M504" s="121" t="s">
        <v>229</v>
      </c>
    </row>
    <row r="505" spans="1:13">
      <c r="A505" s="120" t="s">
        <v>836</v>
      </c>
      <c r="B505" s="121" t="s">
        <v>456</v>
      </c>
      <c r="C505" s="115">
        <v>2080</v>
      </c>
      <c r="D505" s="115">
        <v>12926670</v>
      </c>
      <c r="E505" s="115" t="s">
        <v>895</v>
      </c>
      <c r="F505" s="105" t="s">
        <v>870</v>
      </c>
      <c r="G505" s="131" t="s">
        <v>520</v>
      </c>
      <c r="H505" s="123" t="s">
        <v>237</v>
      </c>
      <c r="I505" s="96" t="s">
        <v>283</v>
      </c>
      <c r="J505" s="123" t="s">
        <v>284</v>
      </c>
      <c r="K505" s="107" t="s">
        <v>522</v>
      </c>
      <c r="L505" s="424">
        <v>9.85</v>
      </c>
      <c r="M505" s="121" t="s">
        <v>229</v>
      </c>
    </row>
    <row r="506" spans="1:13">
      <c r="A506" s="120" t="s">
        <v>836</v>
      </c>
      <c r="B506" s="121" t="s">
        <v>456</v>
      </c>
      <c r="C506" s="115">
        <v>2082</v>
      </c>
      <c r="D506" s="115">
        <v>12926670</v>
      </c>
      <c r="E506" s="115" t="s">
        <v>895</v>
      </c>
      <c r="F506" s="105" t="s">
        <v>871</v>
      </c>
      <c r="G506" s="131" t="s">
        <v>520</v>
      </c>
      <c r="H506" s="123" t="s">
        <v>237</v>
      </c>
      <c r="I506" s="96" t="s">
        <v>283</v>
      </c>
      <c r="J506" s="123" t="s">
        <v>284</v>
      </c>
      <c r="K506" s="107" t="s">
        <v>522</v>
      </c>
      <c r="L506" s="424">
        <v>9.85</v>
      </c>
      <c r="M506" s="121" t="s">
        <v>229</v>
      </c>
    </row>
    <row r="507" spans="1:13">
      <c r="A507" s="120" t="s">
        <v>836</v>
      </c>
      <c r="B507" s="121" t="s">
        <v>456</v>
      </c>
      <c r="C507" s="115">
        <v>2085</v>
      </c>
      <c r="D507" s="115">
        <v>12926670</v>
      </c>
      <c r="E507" s="115" t="s">
        <v>895</v>
      </c>
      <c r="F507" s="105" t="s">
        <v>872</v>
      </c>
      <c r="G507" s="131" t="s">
        <v>520</v>
      </c>
      <c r="H507" s="123" t="s">
        <v>237</v>
      </c>
      <c r="I507" s="96" t="s">
        <v>283</v>
      </c>
      <c r="J507" s="123" t="s">
        <v>284</v>
      </c>
      <c r="K507" s="107" t="s">
        <v>522</v>
      </c>
      <c r="L507" s="424">
        <v>9.85</v>
      </c>
      <c r="M507" s="121" t="s">
        <v>229</v>
      </c>
    </row>
    <row r="508" spans="1:13">
      <c r="A508" s="120" t="s">
        <v>836</v>
      </c>
      <c r="B508" s="121" t="s">
        <v>456</v>
      </c>
      <c r="C508" s="115">
        <v>4001</v>
      </c>
      <c r="D508" s="115">
        <v>12183770</v>
      </c>
      <c r="E508" s="115" t="s">
        <v>895</v>
      </c>
      <c r="F508" s="142" t="s">
        <v>873</v>
      </c>
      <c r="G508" s="131" t="s">
        <v>939</v>
      </c>
      <c r="H508" s="123" t="s">
        <v>237</v>
      </c>
      <c r="I508" s="96" t="s">
        <v>283</v>
      </c>
      <c r="J508" s="123" t="s">
        <v>284</v>
      </c>
      <c r="K508" s="107" t="s">
        <v>228</v>
      </c>
      <c r="L508" s="424">
        <v>9.8000000000000007</v>
      </c>
      <c r="M508" s="121" t="s">
        <v>229</v>
      </c>
    </row>
    <row r="509" spans="1:13">
      <c r="A509" s="120" t="s">
        <v>836</v>
      </c>
      <c r="B509" s="121" t="s">
        <v>456</v>
      </c>
      <c r="C509" s="115" t="s">
        <v>582</v>
      </c>
      <c r="D509" s="115">
        <v>12183770</v>
      </c>
      <c r="E509" s="115" t="s">
        <v>895</v>
      </c>
      <c r="F509" s="142" t="s">
        <v>1112</v>
      </c>
      <c r="G509" s="131" t="s">
        <v>939</v>
      </c>
      <c r="H509" s="123" t="s">
        <v>237</v>
      </c>
      <c r="I509" s="96" t="s">
        <v>283</v>
      </c>
      <c r="J509" s="123" t="s">
        <v>284</v>
      </c>
      <c r="K509" s="107" t="s">
        <v>228</v>
      </c>
      <c r="L509" s="424">
        <v>9.8000000000000007</v>
      </c>
      <c r="M509" s="121" t="s">
        <v>229</v>
      </c>
    </row>
    <row r="510" spans="1:13">
      <c r="A510" s="120" t="s">
        <v>836</v>
      </c>
      <c r="B510" s="121" t="s">
        <v>456</v>
      </c>
      <c r="C510" s="115" t="s">
        <v>1113</v>
      </c>
      <c r="D510" s="115">
        <v>12183770</v>
      </c>
      <c r="E510" s="115" t="s">
        <v>895</v>
      </c>
      <c r="F510" s="142" t="s">
        <v>1114</v>
      </c>
      <c r="G510" s="131" t="s">
        <v>939</v>
      </c>
      <c r="H510" s="123" t="s">
        <v>237</v>
      </c>
      <c r="I510" s="96" t="s">
        <v>283</v>
      </c>
      <c r="J510" s="123" t="s">
        <v>284</v>
      </c>
      <c r="K510" s="107" t="s">
        <v>228</v>
      </c>
      <c r="L510" s="424">
        <v>9.8000000000000007</v>
      </c>
      <c r="M510" s="121" t="s">
        <v>229</v>
      </c>
    </row>
    <row r="511" spans="1:13">
      <c r="A511" s="120" t="s">
        <v>836</v>
      </c>
      <c r="B511" s="121" t="s">
        <v>456</v>
      </c>
      <c r="C511" s="115" t="s">
        <v>583</v>
      </c>
      <c r="D511" s="115">
        <v>12183770</v>
      </c>
      <c r="E511" s="115" t="s">
        <v>895</v>
      </c>
      <c r="F511" s="142" t="s">
        <v>1115</v>
      </c>
      <c r="G511" s="131" t="s">
        <v>939</v>
      </c>
      <c r="H511" s="123" t="s">
        <v>237</v>
      </c>
      <c r="I511" s="96" t="s">
        <v>283</v>
      </c>
      <c r="J511" s="123" t="s">
        <v>284</v>
      </c>
      <c r="K511" s="107" t="s">
        <v>228</v>
      </c>
      <c r="L511" s="424">
        <v>9.8000000000000007</v>
      </c>
      <c r="M511" s="121" t="s">
        <v>229</v>
      </c>
    </row>
    <row r="512" spans="1:13">
      <c r="A512" s="120" t="s">
        <v>836</v>
      </c>
      <c r="B512" s="121" t="s">
        <v>456</v>
      </c>
      <c r="C512" s="115" t="s">
        <v>584</v>
      </c>
      <c r="D512" s="115">
        <v>12183770</v>
      </c>
      <c r="E512" s="115" t="s">
        <v>895</v>
      </c>
      <c r="F512" s="142" t="s">
        <v>1116</v>
      </c>
      <c r="G512" s="131" t="s">
        <v>939</v>
      </c>
      <c r="H512" s="123" t="s">
        <v>237</v>
      </c>
      <c r="I512" s="96" t="s">
        <v>283</v>
      </c>
      <c r="J512" s="123" t="s">
        <v>284</v>
      </c>
      <c r="K512" s="107" t="s">
        <v>228</v>
      </c>
      <c r="L512" s="424">
        <v>9.8000000000000007</v>
      </c>
      <c r="M512" s="121" t="s">
        <v>229</v>
      </c>
    </row>
    <row r="513" spans="1:13">
      <c r="A513" s="120" t="s">
        <v>836</v>
      </c>
      <c r="B513" s="121" t="s">
        <v>456</v>
      </c>
      <c r="C513" s="115">
        <v>4003</v>
      </c>
      <c r="D513" s="115">
        <v>12183770</v>
      </c>
      <c r="E513" s="115" t="s">
        <v>895</v>
      </c>
      <c r="F513" s="142" t="s">
        <v>874</v>
      </c>
      <c r="G513" s="131" t="s">
        <v>939</v>
      </c>
      <c r="H513" s="123" t="s">
        <v>237</v>
      </c>
      <c r="I513" s="96" t="s">
        <v>283</v>
      </c>
      <c r="J513" s="123" t="s">
        <v>284</v>
      </c>
      <c r="K513" s="107" t="s">
        <v>228</v>
      </c>
      <c r="L513" s="424">
        <v>9.8000000000000007</v>
      </c>
      <c r="M513" s="121" t="s">
        <v>229</v>
      </c>
    </row>
    <row r="514" spans="1:13">
      <c r="A514" s="120" t="s">
        <v>836</v>
      </c>
      <c r="B514" s="121" t="s">
        <v>456</v>
      </c>
      <c r="C514" s="115">
        <v>4004</v>
      </c>
      <c r="D514" s="115" t="s">
        <v>1117</v>
      </c>
      <c r="E514" s="115" t="s">
        <v>895</v>
      </c>
      <c r="F514" s="142" t="s">
        <v>875</v>
      </c>
      <c r="G514" s="131" t="s">
        <v>939</v>
      </c>
      <c r="H514" s="123" t="s">
        <v>237</v>
      </c>
      <c r="I514" s="96" t="s">
        <v>283</v>
      </c>
      <c r="J514" s="123" t="s">
        <v>284</v>
      </c>
      <c r="K514" s="107" t="s">
        <v>228</v>
      </c>
      <c r="L514" s="424">
        <v>9.8000000000000007</v>
      </c>
      <c r="M514" s="121" t="s">
        <v>229</v>
      </c>
    </row>
    <row r="515" spans="1:13">
      <c r="A515" s="120" t="s">
        <v>836</v>
      </c>
      <c r="B515" s="121" t="s">
        <v>456</v>
      </c>
      <c r="C515" s="115">
        <v>4070</v>
      </c>
      <c r="D515" s="115">
        <v>12183770</v>
      </c>
      <c r="E515" s="115" t="s">
        <v>895</v>
      </c>
      <c r="F515" s="142" t="s">
        <v>876</v>
      </c>
      <c r="G515" s="131" t="s">
        <v>939</v>
      </c>
      <c r="H515" s="123" t="s">
        <v>237</v>
      </c>
      <c r="I515" s="96" t="s">
        <v>283</v>
      </c>
      <c r="J515" s="123" t="s">
        <v>284</v>
      </c>
      <c r="K515" s="107" t="s">
        <v>228</v>
      </c>
      <c r="L515" s="424">
        <v>9.8000000000000007</v>
      </c>
      <c r="M515" s="121" t="s">
        <v>229</v>
      </c>
    </row>
    <row r="516" spans="1:13">
      <c r="A516" s="120" t="s">
        <v>836</v>
      </c>
      <c r="B516" s="121" t="s">
        <v>456</v>
      </c>
      <c r="C516" s="115">
        <v>4085</v>
      </c>
      <c r="D516" s="115">
        <v>12183770</v>
      </c>
      <c r="E516" s="115" t="s">
        <v>895</v>
      </c>
      <c r="F516" s="142" t="s">
        <v>877</v>
      </c>
      <c r="G516" s="131" t="s">
        <v>939</v>
      </c>
      <c r="H516" s="123" t="s">
        <v>237</v>
      </c>
      <c r="I516" s="96" t="s">
        <v>283</v>
      </c>
      <c r="J516" s="123" t="s">
        <v>284</v>
      </c>
      <c r="K516" s="107" t="s">
        <v>228</v>
      </c>
      <c r="L516" s="424">
        <v>9.8000000000000007</v>
      </c>
      <c r="M516" s="121" t="s">
        <v>229</v>
      </c>
    </row>
    <row r="517" spans="1:13">
      <c r="A517" s="120" t="s">
        <v>836</v>
      </c>
      <c r="B517" s="121" t="s">
        <v>456</v>
      </c>
      <c r="C517" s="115">
        <v>4087</v>
      </c>
      <c r="D517" s="115">
        <v>12183770</v>
      </c>
      <c r="E517" s="115" t="s">
        <v>895</v>
      </c>
      <c r="F517" s="142" t="s">
        <v>1118</v>
      </c>
      <c r="G517" s="131" t="s">
        <v>939</v>
      </c>
      <c r="H517" s="123" t="s">
        <v>237</v>
      </c>
      <c r="I517" s="96" t="s">
        <v>283</v>
      </c>
      <c r="J517" s="123" t="s">
        <v>284</v>
      </c>
      <c r="K517" s="107" t="s">
        <v>228</v>
      </c>
      <c r="L517" s="424">
        <v>9.8000000000000007</v>
      </c>
      <c r="M517" s="121" t="s">
        <v>229</v>
      </c>
    </row>
    <row r="518" spans="1:13">
      <c r="A518" s="450" t="s">
        <v>836</v>
      </c>
      <c r="B518" s="440" t="s">
        <v>456</v>
      </c>
      <c r="C518" s="437">
        <v>4301</v>
      </c>
      <c r="D518" s="437">
        <v>12183770</v>
      </c>
      <c r="E518" s="437" t="s">
        <v>895</v>
      </c>
      <c r="F518" s="142" t="s">
        <v>878</v>
      </c>
      <c r="G518" s="455" t="s">
        <v>939</v>
      </c>
      <c r="H518" s="122" t="s">
        <v>237</v>
      </c>
      <c r="I518" s="450" t="s">
        <v>283</v>
      </c>
      <c r="J518" s="122" t="s">
        <v>284</v>
      </c>
      <c r="K518" s="107" t="s">
        <v>228</v>
      </c>
      <c r="L518" s="424">
        <v>9.8000000000000007</v>
      </c>
      <c r="M518" s="440" t="s">
        <v>229</v>
      </c>
    </row>
    <row r="519" spans="1:13">
      <c r="A519" s="120" t="s">
        <v>836</v>
      </c>
      <c r="B519" s="121" t="s">
        <v>456</v>
      </c>
      <c r="C519" s="115">
        <v>4304</v>
      </c>
      <c r="D519" s="115">
        <v>12183770</v>
      </c>
      <c r="E519" s="115" t="s">
        <v>895</v>
      </c>
      <c r="F519" s="142" t="s">
        <v>879</v>
      </c>
      <c r="G519" s="131" t="s">
        <v>939</v>
      </c>
      <c r="H519" s="123" t="s">
        <v>237</v>
      </c>
      <c r="I519" s="96" t="s">
        <v>283</v>
      </c>
      <c r="J519" s="123" t="s">
        <v>284</v>
      </c>
      <c r="K519" s="107" t="s">
        <v>228</v>
      </c>
      <c r="L519" s="424">
        <v>9.8000000000000007</v>
      </c>
      <c r="M519" s="121" t="s">
        <v>229</v>
      </c>
    </row>
    <row r="520" spans="1:13">
      <c r="A520" s="120" t="s">
        <v>836</v>
      </c>
      <c r="B520" s="121" t="s">
        <v>456</v>
      </c>
      <c r="C520" s="115" t="s">
        <v>1119</v>
      </c>
      <c r="D520" s="115">
        <v>12183770</v>
      </c>
      <c r="E520" s="122" t="s">
        <v>800</v>
      </c>
      <c r="F520" s="142" t="s">
        <v>1120</v>
      </c>
      <c r="G520" s="131" t="s">
        <v>939</v>
      </c>
      <c r="H520" s="123" t="s">
        <v>237</v>
      </c>
      <c r="I520" s="96" t="s">
        <v>283</v>
      </c>
      <c r="J520" s="123" t="s">
        <v>284</v>
      </c>
      <c r="K520" s="107" t="s">
        <v>228</v>
      </c>
      <c r="L520" s="424">
        <v>9.8000000000000007</v>
      </c>
      <c r="M520" s="121" t="s">
        <v>229</v>
      </c>
    </row>
    <row r="521" spans="1:13">
      <c r="A521" s="120" t="s">
        <v>836</v>
      </c>
      <c r="B521" s="121" t="s">
        <v>456</v>
      </c>
      <c r="C521" s="437" t="s">
        <v>585</v>
      </c>
      <c r="D521" s="437">
        <v>12183770</v>
      </c>
      <c r="E521" s="122" t="s">
        <v>800</v>
      </c>
      <c r="F521" s="142" t="s">
        <v>880</v>
      </c>
      <c r="G521" s="455" t="s">
        <v>939</v>
      </c>
      <c r="H521" s="122" t="s">
        <v>237</v>
      </c>
      <c r="I521" s="450" t="s">
        <v>283</v>
      </c>
      <c r="J521" s="122" t="s">
        <v>284</v>
      </c>
      <c r="K521" s="107" t="s">
        <v>228</v>
      </c>
      <c r="L521" s="424">
        <v>9.8000000000000007</v>
      </c>
      <c r="M521" s="440" t="s">
        <v>229</v>
      </c>
    </row>
    <row r="522" spans="1:13">
      <c r="A522" s="120" t="s">
        <v>836</v>
      </c>
      <c r="B522" s="121" t="s">
        <v>456</v>
      </c>
      <c r="C522" s="437" t="s">
        <v>586</v>
      </c>
      <c r="D522" s="437">
        <v>12183770</v>
      </c>
      <c r="E522" s="122" t="s">
        <v>800</v>
      </c>
      <c r="F522" s="142" t="s">
        <v>881</v>
      </c>
      <c r="G522" s="455" t="s">
        <v>939</v>
      </c>
      <c r="H522" s="122" t="s">
        <v>237</v>
      </c>
      <c r="I522" s="450" t="s">
        <v>283</v>
      </c>
      <c r="J522" s="122" t="s">
        <v>284</v>
      </c>
      <c r="K522" s="107" t="s">
        <v>228</v>
      </c>
      <c r="L522" s="424">
        <v>9.8000000000000007</v>
      </c>
      <c r="M522" s="440" t="s">
        <v>229</v>
      </c>
    </row>
    <row r="523" spans="1:13">
      <c r="A523" s="120" t="s">
        <v>836</v>
      </c>
      <c r="B523" s="121" t="s">
        <v>456</v>
      </c>
      <c r="C523" s="437" t="s">
        <v>587</v>
      </c>
      <c r="D523" s="437">
        <v>12183770</v>
      </c>
      <c r="E523" s="122" t="s">
        <v>800</v>
      </c>
      <c r="F523" s="142" t="s">
        <v>882</v>
      </c>
      <c r="G523" s="455" t="s">
        <v>939</v>
      </c>
      <c r="H523" s="122" t="s">
        <v>237</v>
      </c>
      <c r="I523" s="450" t="s">
        <v>283</v>
      </c>
      <c r="J523" s="122" t="s">
        <v>284</v>
      </c>
      <c r="K523" s="107" t="s">
        <v>228</v>
      </c>
      <c r="L523" s="424">
        <v>9.8000000000000007</v>
      </c>
      <c r="M523" s="440" t="s">
        <v>229</v>
      </c>
    </row>
    <row r="524" spans="1:13">
      <c r="A524" s="120" t="s">
        <v>836</v>
      </c>
      <c r="B524" s="121" t="s">
        <v>456</v>
      </c>
      <c r="C524" s="115">
        <v>4310</v>
      </c>
      <c r="D524" s="115">
        <v>12183770</v>
      </c>
      <c r="E524" s="115" t="s">
        <v>895</v>
      </c>
      <c r="F524" s="142" t="s">
        <v>1121</v>
      </c>
      <c r="G524" s="131" t="s">
        <v>939</v>
      </c>
      <c r="H524" s="123" t="s">
        <v>237</v>
      </c>
      <c r="I524" s="96" t="s">
        <v>283</v>
      </c>
      <c r="J524" s="123" t="s">
        <v>284</v>
      </c>
      <c r="K524" s="107" t="s">
        <v>228</v>
      </c>
      <c r="L524" s="424">
        <v>9.8000000000000007</v>
      </c>
      <c r="M524" s="121" t="s">
        <v>229</v>
      </c>
    </row>
    <row r="525" spans="1:13">
      <c r="A525" s="120" t="s">
        <v>836</v>
      </c>
      <c r="B525" s="121" t="s">
        <v>456</v>
      </c>
      <c r="C525" s="115" t="s">
        <v>883</v>
      </c>
      <c r="D525" s="115">
        <v>12183770</v>
      </c>
      <c r="E525" s="123" t="s">
        <v>800</v>
      </c>
      <c r="F525" s="105" t="s">
        <v>884</v>
      </c>
      <c r="G525" s="131" t="s">
        <v>939</v>
      </c>
      <c r="H525" s="123" t="s">
        <v>237</v>
      </c>
      <c r="I525" s="96" t="s">
        <v>283</v>
      </c>
      <c r="J525" s="123" t="s">
        <v>284</v>
      </c>
      <c r="K525" s="107" t="s">
        <v>228</v>
      </c>
      <c r="L525" s="424">
        <v>9.8000000000000007</v>
      </c>
      <c r="M525" s="446" t="s">
        <v>229</v>
      </c>
    </row>
    <row r="526" spans="1:13">
      <c r="A526" s="120" t="s">
        <v>273</v>
      </c>
      <c r="B526" s="121" t="s">
        <v>274</v>
      </c>
      <c r="C526" s="115" t="s">
        <v>1122</v>
      </c>
      <c r="D526" s="115" t="s">
        <v>1122</v>
      </c>
      <c r="E526" s="115" t="s">
        <v>895</v>
      </c>
      <c r="F526" s="142" t="s">
        <v>275</v>
      </c>
      <c r="G526" s="131" t="s">
        <v>276</v>
      </c>
      <c r="H526" s="123" t="s">
        <v>271</v>
      </c>
      <c r="I526" s="96" t="s">
        <v>277</v>
      </c>
      <c r="J526" s="123" t="s">
        <v>227</v>
      </c>
      <c r="K526" s="107" t="s">
        <v>228</v>
      </c>
      <c r="L526" s="424">
        <v>5</v>
      </c>
      <c r="M526" s="121" t="s">
        <v>229</v>
      </c>
    </row>
    <row r="527" spans="1:13">
      <c r="A527" s="120" t="s">
        <v>273</v>
      </c>
      <c r="B527" s="121" t="s">
        <v>274</v>
      </c>
      <c r="C527" s="115" t="s">
        <v>1122</v>
      </c>
      <c r="D527" s="115" t="s">
        <v>1122</v>
      </c>
      <c r="E527" s="115" t="s">
        <v>895</v>
      </c>
      <c r="F527" s="142" t="s">
        <v>275</v>
      </c>
      <c r="G527" s="131" t="s">
        <v>276</v>
      </c>
      <c r="H527" s="123" t="s">
        <v>271</v>
      </c>
      <c r="I527" s="96" t="s">
        <v>278</v>
      </c>
      <c r="J527" s="123" t="s">
        <v>227</v>
      </c>
      <c r="K527" s="107" t="s">
        <v>228</v>
      </c>
      <c r="L527" s="424">
        <v>2</v>
      </c>
      <c r="M527" s="121" t="s">
        <v>229</v>
      </c>
    </row>
    <row r="528" spans="1:13">
      <c r="A528" s="120" t="s">
        <v>273</v>
      </c>
      <c r="B528" s="121" t="s">
        <v>274</v>
      </c>
      <c r="C528" s="115" t="s">
        <v>1122</v>
      </c>
      <c r="D528" s="115" t="s">
        <v>1122</v>
      </c>
      <c r="E528" s="115" t="s">
        <v>895</v>
      </c>
      <c r="F528" s="142" t="s">
        <v>275</v>
      </c>
      <c r="G528" s="131" t="s">
        <v>276</v>
      </c>
      <c r="H528" s="123" t="s">
        <v>271</v>
      </c>
      <c r="I528" s="96" t="s">
        <v>279</v>
      </c>
      <c r="J528" s="123" t="s">
        <v>227</v>
      </c>
      <c r="K528" s="107" t="s">
        <v>228</v>
      </c>
      <c r="L528" s="424">
        <v>3.15</v>
      </c>
      <c r="M528" s="121" t="s">
        <v>229</v>
      </c>
    </row>
    <row r="529" spans="1:13">
      <c r="A529" s="120" t="s">
        <v>273</v>
      </c>
      <c r="B529" s="121" t="s">
        <v>274</v>
      </c>
      <c r="C529" s="115" t="s">
        <v>1122</v>
      </c>
      <c r="D529" s="115" t="s">
        <v>1122</v>
      </c>
      <c r="E529" s="115" t="s">
        <v>895</v>
      </c>
      <c r="F529" s="142" t="s">
        <v>275</v>
      </c>
      <c r="G529" s="131" t="s">
        <v>276</v>
      </c>
      <c r="H529" s="123" t="s">
        <v>271</v>
      </c>
      <c r="I529" s="96" t="s">
        <v>280</v>
      </c>
      <c r="J529" s="123" t="s">
        <v>227</v>
      </c>
      <c r="K529" s="107" t="s">
        <v>228</v>
      </c>
      <c r="L529" s="424">
        <v>4</v>
      </c>
      <c r="M529" s="121" t="s">
        <v>229</v>
      </c>
    </row>
    <row r="530" spans="1:13">
      <c r="A530" s="120" t="s">
        <v>1123</v>
      </c>
      <c r="B530" s="121" t="s">
        <v>593</v>
      </c>
      <c r="C530" s="115">
        <v>2420</v>
      </c>
      <c r="D530" s="115">
        <v>12197370</v>
      </c>
      <c r="E530" s="115" t="s">
        <v>895</v>
      </c>
      <c r="F530" s="142" t="s">
        <v>594</v>
      </c>
      <c r="G530" s="131" t="s">
        <v>332</v>
      </c>
      <c r="H530" s="123" t="s">
        <v>237</v>
      </c>
      <c r="I530" s="96" t="s">
        <v>521</v>
      </c>
      <c r="J530" s="123" t="s">
        <v>284</v>
      </c>
      <c r="K530" s="107" t="s">
        <v>522</v>
      </c>
      <c r="L530" s="424">
        <v>5.8</v>
      </c>
      <c r="M530" s="121" t="s">
        <v>229</v>
      </c>
    </row>
    <row r="531" spans="1:13">
      <c r="A531" s="120" t="s">
        <v>1123</v>
      </c>
      <c r="B531" s="121" t="s">
        <v>593</v>
      </c>
      <c r="C531" s="115">
        <v>2424</v>
      </c>
      <c r="D531" s="115" t="s">
        <v>885</v>
      </c>
      <c r="E531" s="115" t="s">
        <v>895</v>
      </c>
      <c r="F531" s="142" t="s">
        <v>886</v>
      </c>
      <c r="G531" s="131" t="s">
        <v>332</v>
      </c>
      <c r="H531" s="123" t="s">
        <v>237</v>
      </c>
      <c r="I531" s="96" t="s">
        <v>521</v>
      </c>
      <c r="J531" s="123" t="s">
        <v>284</v>
      </c>
      <c r="K531" s="107" t="s">
        <v>522</v>
      </c>
      <c r="L531" s="424">
        <v>5.8</v>
      </c>
      <c r="M531" s="121" t="s">
        <v>229</v>
      </c>
    </row>
    <row r="532" spans="1:13">
      <c r="A532" s="96"/>
      <c r="B532" s="97"/>
      <c r="C532" s="115"/>
      <c r="D532" s="115"/>
      <c r="E532" s="115"/>
      <c r="F532" s="105"/>
      <c r="G532" s="96"/>
      <c r="H532" s="97"/>
      <c r="I532" s="96"/>
      <c r="J532" s="96"/>
      <c r="K532" s="107"/>
      <c r="L532" s="107"/>
      <c r="M532" s="102"/>
    </row>
    <row r="533" spans="1:13">
      <c r="A533" s="96"/>
      <c r="B533" s="97"/>
      <c r="C533" s="115"/>
      <c r="D533" s="115"/>
      <c r="E533" s="115"/>
      <c r="F533" s="105"/>
      <c r="G533" s="96"/>
      <c r="H533" s="97"/>
      <c r="I533" s="96"/>
      <c r="J533" s="96"/>
      <c r="K533" s="107"/>
      <c r="L533" s="107"/>
    </row>
    <row r="534" spans="1:13">
      <c r="A534" s="96"/>
      <c r="B534" s="97"/>
      <c r="C534" s="115"/>
      <c r="D534" s="115"/>
      <c r="E534" s="115"/>
      <c r="F534" s="105"/>
      <c r="G534" s="96"/>
      <c r="H534" s="97"/>
      <c r="I534" s="96"/>
      <c r="J534" s="96"/>
      <c r="K534" s="107"/>
      <c r="L534" s="107"/>
      <c r="M534" s="102"/>
    </row>
    <row r="535" spans="1:13">
      <c r="A535" s="96"/>
      <c r="B535" s="97"/>
      <c r="C535" s="115"/>
      <c r="D535" s="115"/>
      <c r="E535" s="115"/>
      <c r="F535" s="105"/>
      <c r="G535" s="96"/>
      <c r="H535" s="97"/>
      <c r="I535" s="96"/>
      <c r="J535" s="96"/>
      <c r="K535" s="107"/>
      <c r="L535" s="107"/>
      <c r="M535" s="102"/>
    </row>
    <row r="536" spans="1:13">
      <c r="A536" s="96"/>
      <c r="B536" s="97"/>
      <c r="C536" s="115"/>
      <c r="D536" s="115"/>
      <c r="E536" s="115"/>
      <c r="F536" s="105"/>
      <c r="G536" s="96"/>
      <c r="H536" s="97"/>
      <c r="I536" s="96"/>
      <c r="J536" s="96"/>
      <c r="K536" s="107"/>
      <c r="L536" s="107"/>
      <c r="M536" s="102"/>
    </row>
    <row r="537" spans="1:13">
      <c r="A537" s="96"/>
      <c r="B537" s="97"/>
      <c r="C537" s="115"/>
      <c r="D537" s="115"/>
      <c r="E537" s="115"/>
      <c r="F537" s="105"/>
      <c r="G537" s="96"/>
      <c r="H537" s="97"/>
      <c r="I537" s="96"/>
      <c r="J537" s="96"/>
      <c r="K537" s="107"/>
      <c r="L537" s="107"/>
      <c r="M537" s="102"/>
    </row>
    <row r="538" spans="1:13">
      <c r="A538" s="96"/>
      <c r="B538" s="97"/>
      <c r="C538" s="115"/>
      <c r="D538" s="115"/>
      <c r="E538" s="115"/>
      <c r="F538" s="105"/>
      <c r="G538" s="96"/>
      <c r="H538" s="97"/>
      <c r="I538" s="96"/>
      <c r="J538" s="96"/>
      <c r="K538" s="107"/>
      <c r="L538" s="107"/>
      <c r="M538" s="102"/>
    </row>
    <row r="539" spans="1:13">
      <c r="A539" s="96"/>
      <c r="B539" s="97"/>
      <c r="C539" s="115"/>
      <c r="D539" s="115"/>
      <c r="E539" s="115"/>
      <c r="F539" s="105"/>
      <c r="G539" s="96"/>
      <c r="H539" s="97"/>
      <c r="I539" s="96"/>
      <c r="J539" s="96"/>
      <c r="K539" s="107"/>
      <c r="L539" s="107"/>
      <c r="M539" s="102"/>
    </row>
    <row r="540" spans="1:13">
      <c r="A540" s="96"/>
      <c r="B540" s="97"/>
      <c r="C540" s="115"/>
      <c r="D540" s="115"/>
      <c r="E540" s="115"/>
      <c r="F540" s="105"/>
      <c r="G540" s="96"/>
      <c r="H540" s="97"/>
      <c r="I540" s="96"/>
      <c r="J540" s="96"/>
      <c r="K540" s="107"/>
      <c r="L540" s="107"/>
      <c r="M540" s="102"/>
    </row>
    <row r="541" spans="1:13">
      <c r="A541" s="96"/>
      <c r="B541" s="97"/>
      <c r="C541" s="115"/>
      <c r="D541" s="115"/>
      <c r="E541" s="115"/>
      <c r="F541" s="105"/>
      <c r="G541" s="96"/>
      <c r="H541" s="97"/>
      <c r="I541" s="96"/>
      <c r="J541" s="96"/>
      <c r="K541" s="107"/>
      <c r="L541" s="107"/>
      <c r="M541" s="102"/>
    </row>
    <row r="542" spans="1:13">
      <c r="A542" s="96"/>
      <c r="B542" s="97"/>
      <c r="C542" s="115"/>
      <c r="D542" s="115"/>
      <c r="E542" s="115"/>
      <c r="F542" s="105"/>
      <c r="G542" s="96"/>
      <c r="H542" s="97"/>
      <c r="I542" s="96"/>
      <c r="J542" s="96"/>
      <c r="K542" s="107"/>
      <c r="L542" s="107"/>
      <c r="M542" s="102"/>
    </row>
    <row r="543" spans="1:13">
      <c r="A543" s="96"/>
      <c r="B543" s="97"/>
      <c r="C543" s="115"/>
      <c r="D543" s="115"/>
      <c r="E543" s="115"/>
      <c r="F543" s="105"/>
      <c r="G543" s="96"/>
      <c r="H543" s="97"/>
      <c r="I543" s="96"/>
      <c r="J543" s="96"/>
      <c r="K543" s="107"/>
      <c r="L543" s="107"/>
      <c r="M543" s="102"/>
    </row>
    <row r="544" spans="1:13">
      <c r="A544" s="96"/>
      <c r="B544" s="97"/>
      <c r="C544" s="115"/>
      <c r="D544" s="115"/>
      <c r="E544" s="115"/>
      <c r="F544" s="105"/>
      <c r="G544" s="96"/>
      <c r="H544" s="97"/>
      <c r="I544" s="96"/>
      <c r="J544" s="96"/>
      <c r="K544" s="107"/>
      <c r="L544" s="107"/>
      <c r="M544" s="102"/>
    </row>
    <row r="545" spans="1:13">
      <c r="A545" s="96"/>
      <c r="B545" s="97"/>
      <c r="C545" s="115"/>
      <c r="D545" s="115"/>
      <c r="E545" s="115"/>
      <c r="F545" s="105"/>
      <c r="G545" s="96"/>
      <c r="H545" s="97"/>
      <c r="I545" s="96"/>
      <c r="J545" s="96"/>
      <c r="K545" s="107"/>
      <c r="L545" s="107"/>
      <c r="M545" s="102"/>
    </row>
    <row r="546" spans="1:13">
      <c r="A546" s="96"/>
      <c r="B546" s="97"/>
      <c r="C546" s="115"/>
      <c r="D546" s="115"/>
      <c r="E546" s="115"/>
      <c r="F546" s="105"/>
      <c r="G546" s="96"/>
      <c r="H546" s="97"/>
      <c r="I546" s="96"/>
      <c r="J546" s="96"/>
      <c r="K546" s="107"/>
      <c r="L546" s="107"/>
      <c r="M546" s="102"/>
    </row>
    <row r="547" spans="1:13">
      <c r="A547" s="96"/>
      <c r="B547" s="97"/>
      <c r="C547" s="115"/>
      <c r="D547" s="115"/>
      <c r="E547" s="115"/>
      <c r="F547" s="105"/>
      <c r="G547" s="96"/>
      <c r="H547" s="97"/>
      <c r="I547" s="96"/>
      <c r="J547" s="96"/>
      <c r="K547" s="107"/>
      <c r="L547" s="107"/>
      <c r="M547" s="102"/>
    </row>
    <row r="548" spans="1:13">
      <c r="A548" s="96"/>
      <c r="B548" s="97"/>
      <c r="C548" s="115"/>
      <c r="D548" s="115"/>
      <c r="E548" s="115"/>
      <c r="F548" s="105"/>
      <c r="G548" s="96"/>
      <c r="H548" s="97"/>
      <c r="I548" s="96"/>
      <c r="J548" s="96"/>
      <c r="K548" s="107"/>
      <c r="L548" s="107"/>
      <c r="M548" s="102"/>
    </row>
    <row r="549" spans="1:13">
      <c r="A549" s="96"/>
      <c r="B549" s="97"/>
      <c r="C549" s="115"/>
      <c r="D549" s="115"/>
      <c r="E549" s="115"/>
      <c r="F549" s="105"/>
      <c r="G549" s="96"/>
      <c r="H549" s="97"/>
      <c r="I549" s="96"/>
      <c r="J549" s="96"/>
      <c r="K549" s="107"/>
      <c r="L549" s="107"/>
      <c r="M549" s="102"/>
    </row>
    <row r="550" spans="1:13">
      <c r="A550" s="96"/>
      <c r="B550" s="97"/>
      <c r="C550" s="115"/>
      <c r="D550" s="115"/>
      <c r="E550" s="115"/>
      <c r="F550" s="105"/>
      <c r="G550" s="96"/>
      <c r="H550" s="97"/>
      <c r="I550" s="96"/>
      <c r="J550" s="96"/>
      <c r="K550" s="107"/>
      <c r="L550" s="107"/>
      <c r="M550" s="102"/>
    </row>
    <row r="551" spans="1:13">
      <c r="A551" s="96"/>
      <c r="B551" s="97"/>
      <c r="C551" s="115"/>
      <c r="D551" s="115"/>
      <c r="E551" s="115"/>
      <c r="F551" s="105"/>
      <c r="G551" s="96"/>
      <c r="H551" s="97"/>
      <c r="I551" s="96"/>
      <c r="J551" s="96"/>
      <c r="K551" s="107"/>
      <c r="L551" s="107"/>
      <c r="M551" s="102"/>
    </row>
    <row r="552" spans="1:13">
      <c r="A552" s="96"/>
      <c r="B552" s="97"/>
      <c r="C552" s="115"/>
      <c r="D552" s="115"/>
      <c r="E552" s="115"/>
      <c r="F552" s="105"/>
      <c r="G552" s="96"/>
      <c r="H552" s="97"/>
      <c r="I552" s="96"/>
      <c r="J552" s="96"/>
      <c r="K552" s="107"/>
      <c r="L552" s="107"/>
      <c r="M552" s="102"/>
    </row>
    <row r="553" spans="1:13">
      <c r="A553" s="96"/>
      <c r="B553" s="97"/>
      <c r="C553" s="115"/>
      <c r="D553" s="115"/>
      <c r="E553" s="115"/>
      <c r="F553" s="105"/>
      <c r="G553" s="96"/>
      <c r="H553" s="97"/>
      <c r="I553" s="96"/>
      <c r="J553" s="96"/>
      <c r="K553" s="107"/>
      <c r="L553" s="107"/>
      <c r="M553" s="102"/>
    </row>
    <row r="554" spans="1:13">
      <c r="A554" s="96"/>
      <c r="B554" s="97"/>
      <c r="C554" s="115"/>
      <c r="D554" s="115"/>
      <c r="E554" s="115"/>
      <c r="F554" s="105"/>
      <c r="G554" s="96"/>
      <c r="H554" s="97"/>
      <c r="I554" s="96"/>
      <c r="J554" s="96"/>
      <c r="K554" s="107"/>
      <c r="L554" s="107"/>
      <c r="M554" s="102"/>
    </row>
    <row r="555" spans="1:13">
      <c r="A555" s="96"/>
      <c r="B555" s="97"/>
      <c r="C555" s="115"/>
      <c r="D555" s="115"/>
      <c r="E555" s="115"/>
      <c r="F555" s="105"/>
      <c r="G555" s="96"/>
      <c r="H555" s="97"/>
      <c r="I555" s="96"/>
      <c r="J555" s="96"/>
      <c r="K555" s="107"/>
      <c r="L555" s="107"/>
      <c r="M555" s="102"/>
    </row>
    <row r="556" spans="1:13">
      <c r="A556" s="96"/>
      <c r="B556" s="97"/>
      <c r="C556" s="115"/>
      <c r="D556" s="115"/>
      <c r="E556" s="115"/>
      <c r="F556" s="105"/>
      <c r="G556" s="96"/>
      <c r="H556" s="97"/>
      <c r="I556" s="96"/>
      <c r="J556" s="96"/>
      <c r="K556" s="107"/>
      <c r="L556" s="107"/>
      <c r="M556" s="102"/>
    </row>
    <row r="557" spans="1:13">
      <c r="A557" s="96"/>
      <c r="B557" s="97"/>
      <c r="C557" s="115"/>
      <c r="D557" s="115"/>
      <c r="E557" s="115"/>
      <c r="F557" s="105"/>
      <c r="G557" s="96"/>
      <c r="H557" s="97"/>
      <c r="I557" s="96"/>
      <c r="J557" s="96"/>
      <c r="K557" s="107"/>
      <c r="L557" s="107"/>
      <c r="M557" s="102"/>
    </row>
    <row r="558" spans="1:13">
      <c r="A558" s="96"/>
      <c r="B558" s="97"/>
      <c r="C558" s="115"/>
      <c r="D558" s="115"/>
      <c r="E558" s="115"/>
      <c r="F558" s="105"/>
      <c r="G558" s="96"/>
      <c r="H558" s="97"/>
      <c r="I558" s="96"/>
      <c r="J558" s="96"/>
      <c r="K558" s="107"/>
      <c r="L558" s="107"/>
      <c r="M558" s="102"/>
    </row>
    <row r="559" spans="1:13">
      <c r="A559" s="96"/>
      <c r="B559" s="97"/>
      <c r="C559" s="115"/>
      <c r="D559" s="115"/>
      <c r="E559" s="115"/>
      <c r="F559" s="105"/>
      <c r="G559" s="96"/>
      <c r="H559" s="97"/>
      <c r="I559" s="96"/>
      <c r="J559" s="96"/>
      <c r="K559" s="107"/>
      <c r="L559" s="107"/>
      <c r="M559" s="102"/>
    </row>
    <row r="560" spans="1:13">
      <c r="A560" s="96"/>
      <c r="B560" s="97"/>
      <c r="C560" s="115"/>
      <c r="D560" s="115"/>
      <c r="E560" s="115"/>
      <c r="F560" s="105"/>
      <c r="G560" s="96"/>
      <c r="H560" s="97"/>
      <c r="I560" s="96"/>
      <c r="J560" s="96"/>
      <c r="K560" s="107"/>
      <c r="L560" s="107"/>
      <c r="M560" s="102"/>
    </row>
    <row r="561" spans="1:13">
      <c r="A561" s="96"/>
      <c r="B561" s="97"/>
      <c r="C561" s="115"/>
      <c r="D561" s="115"/>
      <c r="E561" s="115"/>
      <c r="F561" s="105"/>
      <c r="G561" s="96"/>
      <c r="H561" s="97"/>
      <c r="I561" s="96"/>
      <c r="J561" s="96"/>
      <c r="K561" s="107"/>
      <c r="L561" s="107"/>
      <c r="M561" s="102"/>
    </row>
    <row r="562" spans="1:13">
      <c r="A562" s="96"/>
      <c r="B562" s="97"/>
      <c r="C562" s="115"/>
      <c r="D562" s="115"/>
      <c r="E562" s="115"/>
      <c r="F562" s="105"/>
      <c r="G562" s="96"/>
      <c r="H562" s="97"/>
      <c r="I562" s="96"/>
      <c r="J562" s="96"/>
      <c r="K562" s="107"/>
      <c r="L562" s="107"/>
      <c r="M562" s="102"/>
    </row>
    <row r="563" spans="1:13">
      <c r="A563" s="96"/>
      <c r="B563" s="97"/>
      <c r="C563" s="115"/>
      <c r="D563" s="115"/>
      <c r="E563" s="115"/>
      <c r="F563" s="105"/>
      <c r="G563" s="96"/>
      <c r="H563" s="97"/>
      <c r="I563" s="96"/>
      <c r="J563" s="96"/>
      <c r="K563" s="107"/>
      <c r="L563" s="107"/>
      <c r="M563" s="102"/>
    </row>
    <row r="564" spans="1:13">
      <c r="A564" s="96"/>
      <c r="B564" s="97"/>
      <c r="C564" s="115"/>
      <c r="D564" s="115"/>
      <c r="E564" s="115"/>
      <c r="F564" s="105"/>
      <c r="G564" s="96"/>
      <c r="H564" s="97"/>
      <c r="I564" s="96"/>
      <c r="J564" s="96"/>
      <c r="K564" s="107"/>
      <c r="L564" s="107"/>
      <c r="M564" s="102"/>
    </row>
    <row r="565" spans="1:13">
      <c r="A565" s="96"/>
      <c r="B565" s="97"/>
      <c r="C565" s="115"/>
      <c r="D565" s="115"/>
      <c r="E565" s="115"/>
      <c r="F565" s="105"/>
      <c r="G565" s="96"/>
      <c r="H565" s="97"/>
      <c r="I565" s="96"/>
      <c r="J565" s="96"/>
      <c r="K565" s="107"/>
      <c r="L565" s="107"/>
      <c r="M565" s="102"/>
    </row>
    <row r="566" spans="1:13">
      <c r="A566" s="96"/>
      <c r="B566" s="97"/>
      <c r="C566" s="115"/>
      <c r="D566" s="115"/>
      <c r="E566" s="115"/>
      <c r="F566" s="105"/>
      <c r="G566" s="96"/>
      <c r="H566" s="97"/>
      <c r="I566" s="96"/>
      <c r="J566" s="96"/>
      <c r="K566" s="107"/>
      <c r="L566" s="107"/>
      <c r="M566" s="102"/>
    </row>
    <row r="567" spans="1:13">
      <c r="A567" s="96"/>
      <c r="B567" s="97"/>
      <c r="C567" s="115"/>
      <c r="D567" s="115"/>
      <c r="E567" s="115"/>
      <c r="F567" s="105"/>
      <c r="G567" s="96"/>
      <c r="H567" s="97"/>
      <c r="I567" s="96"/>
      <c r="J567" s="96"/>
      <c r="K567" s="107"/>
      <c r="L567" s="107"/>
      <c r="M567" s="102"/>
    </row>
    <row r="568" spans="1:13">
      <c r="A568" s="96"/>
      <c r="B568" s="97"/>
      <c r="C568" s="115"/>
      <c r="D568" s="115"/>
      <c r="E568" s="115"/>
      <c r="F568" s="105"/>
      <c r="G568" s="96"/>
      <c r="H568" s="97"/>
      <c r="I568" s="96"/>
      <c r="J568" s="96"/>
      <c r="K568" s="107"/>
      <c r="L568" s="107"/>
      <c r="M568" s="102"/>
    </row>
    <row r="569" spans="1:13">
      <c r="A569" s="96"/>
      <c r="B569" s="97"/>
      <c r="C569" s="115"/>
      <c r="D569" s="115"/>
      <c r="E569" s="115"/>
      <c r="F569" s="105"/>
      <c r="G569" s="96"/>
      <c r="H569" s="97"/>
      <c r="I569" s="96"/>
      <c r="J569" s="96"/>
      <c r="K569" s="107"/>
      <c r="L569" s="107"/>
      <c r="M569" s="102"/>
    </row>
    <row r="570" spans="1:13">
      <c r="A570" s="96"/>
      <c r="B570" s="97"/>
      <c r="C570" s="115"/>
      <c r="D570" s="115"/>
      <c r="E570" s="115"/>
      <c r="F570" s="105"/>
      <c r="G570" s="96"/>
      <c r="H570" s="97"/>
      <c r="I570" s="96"/>
      <c r="J570" s="96"/>
      <c r="K570" s="107"/>
      <c r="L570" s="107"/>
      <c r="M570" s="102"/>
    </row>
    <row r="571" spans="1:13">
      <c r="A571" s="96"/>
      <c r="B571" s="97"/>
      <c r="C571" s="115"/>
      <c r="D571" s="115"/>
      <c r="E571" s="115"/>
      <c r="F571" s="105"/>
      <c r="G571" s="96"/>
      <c r="H571" s="97"/>
      <c r="I571" s="96"/>
      <c r="J571" s="96"/>
      <c r="K571" s="107"/>
      <c r="L571" s="107"/>
      <c r="M571" s="102"/>
    </row>
    <row r="572" spans="1:13">
      <c r="A572" s="96"/>
      <c r="B572" s="97"/>
      <c r="C572" s="115"/>
      <c r="D572" s="115"/>
      <c r="E572" s="115"/>
      <c r="F572" s="105"/>
      <c r="G572" s="96"/>
      <c r="H572" s="97"/>
      <c r="I572" s="96"/>
      <c r="J572" s="96"/>
      <c r="K572" s="107"/>
      <c r="L572" s="107"/>
      <c r="M572" s="102"/>
    </row>
    <row r="573" spans="1:13">
      <c r="A573" s="96"/>
      <c r="B573" s="97"/>
      <c r="C573" s="115"/>
      <c r="D573" s="115"/>
      <c r="E573" s="115"/>
      <c r="F573" s="105"/>
      <c r="G573" s="96"/>
      <c r="H573" s="97"/>
      <c r="I573" s="96"/>
      <c r="J573" s="96"/>
      <c r="K573" s="107"/>
      <c r="L573" s="107"/>
      <c r="M573" s="102"/>
    </row>
    <row r="574" spans="1:13">
      <c r="A574" s="96"/>
      <c r="B574" s="97"/>
      <c r="C574" s="115"/>
      <c r="D574" s="115"/>
      <c r="E574" s="115"/>
      <c r="F574" s="105"/>
      <c r="G574" s="96"/>
      <c r="H574" s="97"/>
      <c r="I574" s="96"/>
      <c r="J574" s="96"/>
      <c r="K574" s="107"/>
      <c r="L574" s="107"/>
      <c r="M574" s="102"/>
    </row>
    <row r="575" spans="1:13">
      <c r="A575" s="96"/>
      <c r="B575" s="97"/>
      <c r="C575" s="115"/>
      <c r="D575" s="115"/>
      <c r="E575" s="115"/>
      <c r="F575" s="105"/>
      <c r="G575" s="96"/>
      <c r="H575" s="97"/>
      <c r="I575" s="96"/>
      <c r="J575" s="96"/>
      <c r="K575" s="107"/>
      <c r="L575" s="107"/>
      <c r="M575" s="102"/>
    </row>
    <row r="576" spans="1:13">
      <c r="A576" s="96"/>
      <c r="B576" s="97"/>
      <c r="C576" s="115"/>
      <c r="D576" s="115"/>
      <c r="E576" s="115"/>
      <c r="F576" s="105"/>
      <c r="G576" s="96"/>
      <c r="H576" s="97"/>
      <c r="I576" s="96"/>
      <c r="J576" s="96"/>
      <c r="K576" s="107"/>
      <c r="L576" s="107"/>
      <c r="M576" s="102"/>
    </row>
    <row r="577" spans="1:13">
      <c r="A577" s="96"/>
      <c r="B577" s="97"/>
      <c r="C577" s="115"/>
      <c r="D577" s="115"/>
      <c r="E577" s="115"/>
      <c r="F577" s="105"/>
      <c r="G577" s="96"/>
      <c r="H577" s="97"/>
      <c r="I577" s="96"/>
      <c r="J577" s="96"/>
      <c r="K577" s="107"/>
      <c r="L577" s="107"/>
      <c r="M577" s="102"/>
    </row>
    <row r="578" spans="1:13">
      <c r="A578" s="96"/>
      <c r="B578" s="97"/>
      <c r="C578" s="115"/>
      <c r="D578" s="115"/>
      <c r="E578" s="115"/>
      <c r="F578" s="105"/>
      <c r="G578" s="96"/>
      <c r="H578" s="97"/>
      <c r="I578" s="96"/>
      <c r="J578" s="96"/>
      <c r="K578" s="107"/>
      <c r="L578" s="107"/>
      <c r="M578" s="102"/>
    </row>
    <row r="579" spans="1:13">
      <c r="A579" s="96"/>
      <c r="B579" s="97"/>
      <c r="C579" s="115"/>
      <c r="D579" s="115"/>
      <c r="E579" s="115"/>
      <c r="F579" s="105"/>
      <c r="G579" s="96"/>
      <c r="H579" s="97"/>
      <c r="I579" s="96"/>
      <c r="J579" s="96"/>
      <c r="K579" s="107"/>
      <c r="L579" s="107"/>
      <c r="M579" s="102"/>
    </row>
    <row r="580" spans="1:13">
      <c r="A580" s="96"/>
      <c r="B580" s="97"/>
      <c r="C580" s="115"/>
      <c r="D580" s="115"/>
      <c r="E580" s="115"/>
      <c r="F580" s="105"/>
      <c r="G580" s="96"/>
      <c r="H580" s="97"/>
      <c r="I580" s="96"/>
      <c r="J580" s="96"/>
      <c r="K580" s="107"/>
      <c r="L580" s="107"/>
      <c r="M580" s="102"/>
    </row>
    <row r="581" spans="1:13">
      <c r="A581" s="96"/>
      <c r="B581" s="97"/>
      <c r="C581" s="115"/>
      <c r="D581" s="115"/>
      <c r="E581" s="115"/>
      <c r="F581" s="105"/>
      <c r="G581" s="96"/>
      <c r="H581" s="97"/>
      <c r="I581" s="96"/>
      <c r="J581" s="96"/>
      <c r="K581" s="107"/>
      <c r="L581" s="107"/>
      <c r="M581" s="102"/>
    </row>
    <row r="582" spans="1:13">
      <c r="A582" s="96"/>
      <c r="B582" s="97"/>
      <c r="C582" s="115"/>
      <c r="D582" s="115"/>
      <c r="E582" s="115"/>
      <c r="F582" s="105"/>
      <c r="G582" s="96"/>
      <c r="H582" s="97"/>
      <c r="I582" s="96"/>
      <c r="J582" s="96"/>
      <c r="K582" s="107"/>
      <c r="L582" s="107"/>
      <c r="M582" s="102"/>
    </row>
    <row r="583" spans="1:13">
      <c r="A583" s="96"/>
      <c r="B583" s="97"/>
      <c r="C583" s="115"/>
      <c r="D583" s="115"/>
      <c r="E583" s="115"/>
      <c r="F583" s="105"/>
      <c r="G583" s="96"/>
      <c r="H583" s="97"/>
      <c r="I583" s="96"/>
      <c r="J583" s="96"/>
      <c r="K583" s="107"/>
      <c r="L583" s="107"/>
      <c r="M583" s="102"/>
    </row>
    <row r="584" spans="1:13">
      <c r="A584" s="96"/>
      <c r="B584" s="97"/>
      <c r="C584" s="115"/>
      <c r="D584" s="115"/>
      <c r="E584" s="115"/>
      <c r="F584" s="105"/>
      <c r="G584" s="96"/>
      <c r="H584" s="97"/>
      <c r="I584" s="96"/>
      <c r="J584" s="96"/>
      <c r="K584" s="107"/>
      <c r="L584" s="107"/>
      <c r="M584" s="102"/>
    </row>
    <row r="585" spans="1:13">
      <c r="A585" s="96"/>
      <c r="B585" s="97"/>
      <c r="C585" s="115"/>
      <c r="D585" s="115"/>
      <c r="E585" s="115"/>
      <c r="F585" s="105"/>
      <c r="G585" s="96"/>
      <c r="H585" s="97"/>
      <c r="I585" s="96"/>
      <c r="J585" s="96"/>
      <c r="K585" s="107"/>
      <c r="L585" s="107"/>
      <c r="M585" s="102"/>
    </row>
    <row r="586" spans="1:13">
      <c r="A586" s="96"/>
      <c r="B586" s="97"/>
      <c r="C586" s="115"/>
      <c r="D586" s="115"/>
      <c r="E586" s="115"/>
      <c r="F586" s="105"/>
      <c r="G586" s="96"/>
      <c r="H586" s="97"/>
      <c r="I586" s="96"/>
      <c r="J586" s="96"/>
      <c r="K586" s="107"/>
      <c r="L586" s="107"/>
      <c r="M586" s="102"/>
    </row>
    <row r="587" spans="1:13">
      <c r="A587" s="96"/>
      <c r="B587" s="97"/>
      <c r="C587" s="115"/>
      <c r="D587" s="115"/>
      <c r="E587" s="115"/>
      <c r="F587" s="105"/>
      <c r="G587" s="96"/>
      <c r="H587" s="97"/>
      <c r="I587" s="96"/>
      <c r="J587" s="96"/>
      <c r="K587" s="107"/>
      <c r="L587" s="107"/>
      <c r="M587" s="102"/>
    </row>
    <row r="588" spans="1:13">
      <c r="A588" s="96"/>
      <c r="B588" s="97"/>
      <c r="C588" s="115"/>
      <c r="D588" s="115"/>
      <c r="E588" s="115"/>
      <c r="F588" s="105"/>
      <c r="G588" s="96"/>
      <c r="H588" s="97"/>
      <c r="I588" s="96"/>
      <c r="J588" s="96"/>
      <c r="K588" s="107"/>
      <c r="L588" s="107"/>
      <c r="M588" s="102"/>
    </row>
    <row r="589" spans="1:13">
      <c r="A589" s="96"/>
      <c r="B589" s="97"/>
      <c r="C589" s="115"/>
      <c r="D589" s="115"/>
      <c r="E589" s="115"/>
      <c r="F589" s="105"/>
      <c r="G589" s="96"/>
      <c r="H589" s="97"/>
      <c r="I589" s="96"/>
      <c r="J589" s="96"/>
      <c r="K589" s="107"/>
      <c r="L589" s="107"/>
      <c r="M589" s="102"/>
    </row>
    <row r="590" spans="1:13">
      <c r="A590" s="96"/>
      <c r="B590" s="97"/>
      <c r="C590" s="115"/>
      <c r="D590" s="115"/>
      <c r="E590" s="115"/>
      <c r="F590" s="105"/>
      <c r="G590" s="96"/>
      <c r="H590" s="97"/>
      <c r="I590" s="96"/>
      <c r="J590" s="96"/>
      <c r="K590" s="107"/>
      <c r="L590" s="107"/>
      <c r="M590" s="102"/>
    </row>
    <row r="591" spans="1:13">
      <c r="A591" s="96"/>
      <c r="B591" s="97"/>
      <c r="C591" s="115"/>
      <c r="D591" s="115"/>
      <c r="E591" s="115"/>
      <c r="F591" s="105"/>
      <c r="G591" s="96"/>
      <c r="H591" s="97"/>
      <c r="I591" s="96"/>
      <c r="J591" s="96"/>
      <c r="K591" s="107"/>
      <c r="L591" s="107"/>
      <c r="M591" s="102"/>
    </row>
    <row r="592" spans="1:13">
      <c r="A592" s="96"/>
      <c r="B592" s="97"/>
      <c r="C592" s="115"/>
      <c r="D592" s="115"/>
      <c r="E592" s="115"/>
      <c r="F592" s="105"/>
      <c r="G592" s="96"/>
      <c r="H592" s="97"/>
      <c r="I592" s="96"/>
      <c r="J592" s="96"/>
      <c r="K592" s="107"/>
      <c r="L592" s="107"/>
      <c r="M592" s="102"/>
    </row>
    <row r="593" spans="1:13">
      <c r="A593" s="96"/>
      <c r="B593" s="97"/>
      <c r="C593" s="115"/>
      <c r="D593" s="115"/>
      <c r="E593" s="115"/>
      <c r="F593" s="105"/>
      <c r="G593" s="96"/>
      <c r="H593" s="97"/>
      <c r="I593" s="96"/>
      <c r="J593" s="96"/>
      <c r="K593" s="107"/>
      <c r="L593" s="107"/>
      <c r="M593" s="102"/>
    </row>
    <row r="594" spans="1:13">
      <c r="A594" s="96"/>
      <c r="B594" s="97"/>
      <c r="C594" s="115"/>
      <c r="D594" s="115"/>
      <c r="E594" s="115"/>
      <c r="F594" s="105"/>
      <c r="G594" s="96"/>
      <c r="H594" s="97"/>
      <c r="I594" s="96"/>
      <c r="J594" s="96"/>
      <c r="K594" s="107"/>
      <c r="L594" s="107"/>
      <c r="M594" s="102"/>
    </row>
    <row r="595" spans="1:13">
      <c r="A595" s="96"/>
      <c r="B595" s="97"/>
      <c r="C595" s="115"/>
      <c r="D595" s="115"/>
      <c r="E595" s="115"/>
      <c r="F595" s="105"/>
      <c r="G595" s="96"/>
      <c r="H595" s="97"/>
      <c r="I595" s="96"/>
      <c r="J595" s="96"/>
      <c r="K595" s="107"/>
      <c r="L595" s="107"/>
      <c r="M595" s="102"/>
    </row>
    <row r="596" spans="1:13">
      <c r="A596" s="96"/>
      <c r="B596" s="97"/>
      <c r="C596" s="115"/>
      <c r="D596" s="115"/>
      <c r="E596" s="115"/>
      <c r="F596" s="105"/>
      <c r="G596" s="96"/>
      <c r="H596" s="97"/>
      <c r="I596" s="96"/>
      <c r="J596" s="96"/>
      <c r="K596" s="107"/>
      <c r="L596" s="107"/>
      <c r="M596" s="102"/>
    </row>
    <row r="597" spans="1:13">
      <c r="A597" s="96"/>
      <c r="B597" s="97"/>
      <c r="C597" s="115"/>
      <c r="D597" s="115"/>
      <c r="E597" s="115"/>
      <c r="F597" s="105"/>
      <c r="G597" s="96"/>
      <c r="H597" s="97"/>
      <c r="I597" s="96"/>
      <c r="J597" s="96"/>
      <c r="K597" s="107"/>
      <c r="L597" s="107"/>
      <c r="M597" s="102"/>
    </row>
    <row r="598" spans="1:13">
      <c r="A598" s="96"/>
      <c r="B598" s="97"/>
      <c r="C598" s="115"/>
      <c r="D598" s="115"/>
      <c r="E598" s="115"/>
      <c r="F598" s="105"/>
      <c r="G598" s="96"/>
      <c r="H598" s="97"/>
      <c r="I598" s="96"/>
      <c r="J598" s="96"/>
      <c r="K598" s="107"/>
      <c r="L598" s="107"/>
      <c r="M598" s="102"/>
    </row>
    <row r="599" spans="1:13">
      <c r="A599" s="96"/>
      <c r="B599" s="97"/>
      <c r="C599" s="115"/>
      <c r="D599" s="115"/>
      <c r="E599" s="115"/>
      <c r="F599" s="105"/>
      <c r="G599" s="96"/>
      <c r="H599" s="97"/>
      <c r="I599" s="96"/>
      <c r="J599" s="96"/>
      <c r="K599" s="107"/>
      <c r="L599" s="107"/>
      <c r="M599" s="102"/>
    </row>
    <row r="600" spans="1:13">
      <c r="A600" s="96"/>
      <c r="B600" s="97"/>
      <c r="C600" s="115"/>
      <c r="D600" s="115"/>
      <c r="E600" s="115"/>
      <c r="F600" s="105"/>
      <c r="G600" s="96"/>
      <c r="H600" s="97"/>
      <c r="I600" s="96"/>
      <c r="J600" s="96"/>
      <c r="K600" s="107"/>
      <c r="L600" s="107"/>
      <c r="M600" s="102"/>
    </row>
    <row r="601" spans="1:13">
      <c r="A601" s="96"/>
      <c r="B601" s="97"/>
      <c r="C601" s="115"/>
      <c r="D601" s="115"/>
      <c r="E601" s="115"/>
      <c r="F601" s="105"/>
      <c r="G601" s="96"/>
      <c r="H601" s="97"/>
      <c r="I601" s="96"/>
      <c r="J601" s="96"/>
      <c r="K601" s="107"/>
      <c r="L601" s="107"/>
      <c r="M601" s="102"/>
    </row>
    <row r="602" spans="1:13">
      <c r="A602" s="96"/>
      <c r="B602" s="97"/>
      <c r="C602" s="115"/>
      <c r="D602" s="115"/>
      <c r="E602" s="115"/>
      <c r="F602" s="105"/>
      <c r="G602" s="96"/>
      <c r="H602" s="97"/>
      <c r="I602" s="96"/>
      <c r="J602" s="96"/>
      <c r="K602" s="107"/>
      <c r="L602" s="107"/>
      <c r="M602" s="102"/>
    </row>
    <row r="603" spans="1:13">
      <c r="A603" s="96"/>
      <c r="B603" s="97"/>
      <c r="C603" s="115"/>
      <c r="D603" s="115"/>
      <c r="E603" s="115"/>
      <c r="F603" s="105"/>
      <c r="G603" s="96"/>
      <c r="H603" s="97"/>
      <c r="I603" s="96"/>
      <c r="J603" s="96"/>
      <c r="K603" s="107"/>
      <c r="L603" s="107"/>
      <c r="M603" s="102"/>
    </row>
    <row r="604" spans="1:13">
      <c r="A604" s="96"/>
      <c r="B604" s="97"/>
      <c r="C604" s="115"/>
      <c r="D604" s="115"/>
      <c r="E604" s="115"/>
      <c r="F604" s="105"/>
      <c r="G604" s="96"/>
      <c r="H604" s="97"/>
      <c r="I604" s="96"/>
      <c r="J604" s="96"/>
      <c r="K604" s="107"/>
      <c r="L604" s="107"/>
      <c r="M604" s="102"/>
    </row>
    <row r="605" spans="1:13">
      <c r="A605" s="96"/>
      <c r="B605" s="97"/>
      <c r="C605" s="115"/>
      <c r="D605" s="115"/>
      <c r="E605" s="115"/>
      <c r="F605" s="105"/>
      <c r="G605" s="96"/>
      <c r="H605" s="97"/>
      <c r="I605" s="96"/>
      <c r="J605" s="96"/>
      <c r="K605" s="107"/>
      <c r="L605" s="107"/>
      <c r="M605" s="102"/>
    </row>
    <row r="606" spans="1:13">
      <c r="A606" s="96"/>
      <c r="B606" s="97"/>
      <c r="C606" s="115"/>
      <c r="D606" s="115"/>
      <c r="E606" s="115"/>
      <c r="F606" s="105"/>
      <c r="G606" s="96"/>
      <c r="H606" s="97"/>
      <c r="I606" s="96"/>
      <c r="J606" s="96"/>
      <c r="K606" s="107"/>
      <c r="L606" s="107"/>
      <c r="M606" s="102"/>
    </row>
    <row r="607" spans="1:13">
      <c r="A607" s="96"/>
      <c r="B607" s="97"/>
      <c r="C607" s="115"/>
      <c r="D607" s="115"/>
      <c r="E607" s="115"/>
      <c r="F607" s="105"/>
      <c r="G607" s="96"/>
      <c r="H607" s="97"/>
      <c r="I607" s="96"/>
      <c r="J607" s="96"/>
      <c r="K607" s="107"/>
      <c r="L607" s="107"/>
      <c r="M607" s="102"/>
    </row>
    <row r="608" spans="1:13">
      <c r="A608" s="96"/>
      <c r="B608" s="97"/>
      <c r="C608" s="115"/>
      <c r="D608" s="115"/>
      <c r="E608" s="115"/>
      <c r="F608" s="105"/>
      <c r="G608" s="96"/>
      <c r="H608" s="97"/>
      <c r="I608" s="96"/>
      <c r="J608" s="96"/>
      <c r="K608" s="107"/>
      <c r="L608" s="107"/>
      <c r="M608" s="102"/>
    </row>
    <row r="609" spans="1:13">
      <c r="A609" s="96"/>
      <c r="B609" s="97"/>
      <c r="C609" s="115"/>
      <c r="D609" s="115"/>
      <c r="E609" s="115"/>
      <c r="F609" s="105"/>
      <c r="G609" s="96"/>
      <c r="H609" s="97"/>
      <c r="I609" s="96"/>
      <c r="J609" s="96"/>
      <c r="K609" s="107"/>
      <c r="L609" s="107"/>
      <c r="M609" s="102"/>
    </row>
    <row r="610" spans="1:13">
      <c r="A610" s="96"/>
      <c r="B610" s="97"/>
      <c r="C610" s="115"/>
      <c r="D610" s="115"/>
      <c r="E610" s="115"/>
      <c r="F610" s="105"/>
      <c r="G610" s="96"/>
      <c r="H610" s="97"/>
      <c r="I610" s="96"/>
      <c r="J610" s="96"/>
      <c r="K610" s="107"/>
      <c r="L610" s="107"/>
      <c r="M610" s="102"/>
    </row>
    <row r="611" spans="1:13">
      <c r="A611" s="96"/>
      <c r="B611" s="97"/>
      <c r="C611" s="115"/>
      <c r="D611" s="115"/>
      <c r="E611" s="115"/>
      <c r="F611" s="105"/>
      <c r="G611" s="96"/>
      <c r="H611" s="97"/>
      <c r="I611" s="96"/>
      <c r="J611" s="96"/>
      <c r="K611" s="107"/>
      <c r="L611" s="107"/>
      <c r="M611" s="102"/>
    </row>
    <row r="612" spans="1:13">
      <c r="A612" s="96"/>
      <c r="B612" s="97"/>
      <c r="C612" s="115"/>
      <c r="D612" s="115"/>
      <c r="E612" s="115"/>
      <c r="F612" s="105"/>
      <c r="G612" s="96"/>
      <c r="H612" s="97"/>
      <c r="I612" s="96"/>
      <c r="J612" s="96"/>
      <c r="K612" s="107"/>
      <c r="L612" s="107"/>
      <c r="M612" s="102"/>
    </row>
    <row r="613" spans="1:13">
      <c r="A613" s="96"/>
      <c r="B613" s="97"/>
      <c r="C613" s="115"/>
      <c r="D613" s="115"/>
      <c r="E613" s="115"/>
      <c r="F613" s="105"/>
      <c r="G613" s="96"/>
      <c r="H613" s="97"/>
      <c r="I613" s="96"/>
      <c r="J613" s="96"/>
      <c r="K613" s="107"/>
      <c r="L613" s="107"/>
      <c r="M613" s="102"/>
    </row>
    <row r="614" spans="1:13">
      <c r="A614" s="96"/>
      <c r="B614" s="97"/>
      <c r="C614" s="115"/>
      <c r="D614" s="115"/>
      <c r="E614" s="115"/>
      <c r="F614" s="105"/>
      <c r="G614" s="96"/>
      <c r="H614" s="97"/>
      <c r="I614" s="96"/>
      <c r="J614" s="96"/>
      <c r="K614" s="107"/>
      <c r="L614" s="107"/>
      <c r="M614" s="102"/>
    </row>
    <row r="615" spans="1:13">
      <c r="A615" s="96"/>
      <c r="B615" s="97"/>
      <c r="C615" s="115"/>
      <c r="D615" s="115"/>
      <c r="E615" s="115"/>
      <c r="F615" s="105"/>
      <c r="G615" s="96"/>
      <c r="H615" s="97"/>
      <c r="I615" s="96"/>
      <c r="J615" s="96"/>
      <c r="K615" s="107"/>
      <c r="L615" s="107"/>
      <c r="M615" s="102"/>
    </row>
    <row r="616" spans="1:13">
      <c r="A616" s="96"/>
      <c r="B616" s="97"/>
      <c r="C616" s="115"/>
      <c r="D616" s="115"/>
      <c r="E616" s="115"/>
      <c r="F616" s="105"/>
      <c r="G616" s="96"/>
      <c r="H616" s="97"/>
      <c r="I616" s="96"/>
      <c r="J616" s="96"/>
      <c r="K616" s="107"/>
      <c r="L616" s="107"/>
      <c r="M616" s="102"/>
    </row>
    <row r="617" spans="1:13">
      <c r="A617" s="96"/>
      <c r="B617" s="97"/>
      <c r="C617" s="115"/>
      <c r="D617" s="115"/>
      <c r="E617" s="115"/>
      <c r="F617" s="105"/>
      <c r="G617" s="96"/>
      <c r="H617" s="97"/>
      <c r="I617" s="96"/>
      <c r="J617" s="96"/>
      <c r="K617" s="107"/>
      <c r="L617" s="107"/>
      <c r="M617" s="102"/>
    </row>
    <row r="618" spans="1:13">
      <c r="A618" s="96"/>
      <c r="B618" s="97"/>
      <c r="C618" s="115"/>
      <c r="D618" s="115"/>
      <c r="E618" s="115"/>
      <c r="F618" s="105"/>
      <c r="G618" s="96"/>
      <c r="H618" s="97"/>
      <c r="I618" s="96"/>
      <c r="J618" s="96"/>
      <c r="K618" s="107"/>
      <c r="L618" s="107"/>
      <c r="M618" s="102"/>
    </row>
    <row r="619" spans="1:13">
      <c r="A619" s="96"/>
      <c r="B619" s="97"/>
      <c r="C619" s="115"/>
      <c r="D619" s="115"/>
      <c r="E619" s="115"/>
      <c r="F619" s="105"/>
      <c r="G619" s="96"/>
      <c r="H619" s="97"/>
      <c r="I619" s="96"/>
      <c r="J619" s="96"/>
      <c r="K619" s="107"/>
      <c r="L619" s="107"/>
      <c r="M619" s="102"/>
    </row>
    <row r="620" spans="1:13">
      <c r="A620" s="96"/>
      <c r="B620" s="97"/>
      <c r="C620" s="115"/>
      <c r="D620" s="115"/>
      <c r="E620" s="115"/>
      <c r="F620" s="105"/>
      <c r="G620" s="96"/>
      <c r="H620" s="97"/>
      <c r="I620" s="96"/>
      <c r="J620" s="96"/>
      <c r="K620" s="107"/>
      <c r="L620" s="107"/>
      <c r="M620" s="102"/>
    </row>
    <row r="621" spans="1:13">
      <c r="A621" s="96"/>
      <c r="B621" s="97"/>
      <c r="C621" s="115"/>
      <c r="D621" s="115"/>
      <c r="E621" s="115"/>
      <c r="F621" s="105"/>
      <c r="G621" s="96"/>
      <c r="H621" s="97"/>
      <c r="I621" s="96"/>
      <c r="J621" s="96"/>
      <c r="K621" s="107"/>
      <c r="L621" s="107"/>
      <c r="M621" s="102"/>
    </row>
    <row r="622" spans="1:13">
      <c r="A622" s="96"/>
      <c r="B622" s="97"/>
      <c r="C622" s="115"/>
      <c r="D622" s="115"/>
      <c r="E622" s="115"/>
      <c r="F622" s="105"/>
      <c r="G622" s="96"/>
      <c r="H622" s="97"/>
      <c r="I622" s="96"/>
      <c r="J622" s="96"/>
      <c r="K622" s="107"/>
      <c r="L622" s="107"/>
      <c r="M622" s="102"/>
    </row>
    <row r="623" spans="1:13">
      <c r="A623" s="96"/>
      <c r="B623" s="97"/>
      <c r="C623" s="115"/>
      <c r="D623" s="115"/>
      <c r="E623" s="115"/>
      <c r="F623" s="105"/>
      <c r="G623" s="96"/>
      <c r="H623" s="97"/>
      <c r="I623" s="96"/>
      <c r="J623" s="96"/>
      <c r="K623" s="107"/>
      <c r="L623" s="107"/>
      <c r="M623" s="102"/>
    </row>
    <row r="624" spans="1:13">
      <c r="A624" s="96"/>
      <c r="B624" s="97"/>
      <c r="C624" s="115"/>
      <c r="D624" s="115"/>
      <c r="E624" s="115"/>
      <c r="F624" s="105"/>
      <c r="G624" s="96"/>
      <c r="H624" s="97"/>
      <c r="I624" s="96"/>
      <c r="J624" s="96"/>
      <c r="K624" s="107"/>
      <c r="L624" s="107"/>
      <c r="M624" s="102"/>
    </row>
    <row r="625" spans="1:13">
      <c r="A625" s="96"/>
      <c r="B625" s="97"/>
      <c r="C625" s="115"/>
      <c r="D625" s="115"/>
      <c r="E625" s="115"/>
      <c r="F625" s="105"/>
      <c r="G625" s="96"/>
      <c r="H625" s="97"/>
      <c r="I625" s="96"/>
      <c r="J625" s="96"/>
      <c r="K625" s="107"/>
      <c r="L625" s="107"/>
      <c r="M625" s="102"/>
    </row>
    <row r="626" spans="1:13">
      <c r="A626" s="96"/>
      <c r="B626" s="97"/>
      <c r="C626" s="115"/>
      <c r="D626" s="115"/>
      <c r="E626" s="115"/>
      <c r="F626" s="105"/>
      <c r="G626" s="96"/>
      <c r="H626" s="97"/>
      <c r="I626" s="96"/>
      <c r="J626" s="96"/>
      <c r="K626" s="107"/>
      <c r="L626" s="107"/>
      <c r="M626" s="102"/>
    </row>
    <row r="627" spans="1:13">
      <c r="A627" s="96"/>
      <c r="B627" s="97"/>
      <c r="C627" s="115"/>
      <c r="D627" s="115"/>
      <c r="E627" s="115"/>
      <c r="F627" s="105"/>
      <c r="G627" s="96"/>
      <c r="H627" s="97"/>
      <c r="I627" s="96"/>
      <c r="J627" s="96"/>
      <c r="K627" s="107"/>
      <c r="L627" s="107"/>
      <c r="M627" s="102"/>
    </row>
    <row r="628" spans="1:13">
      <c r="A628" s="96"/>
      <c r="B628" s="97"/>
      <c r="C628" s="115"/>
      <c r="D628" s="115"/>
      <c r="E628" s="115"/>
      <c r="F628" s="105"/>
      <c r="G628" s="96"/>
      <c r="H628" s="97"/>
      <c r="I628" s="96"/>
      <c r="J628" s="96"/>
      <c r="K628" s="107"/>
      <c r="L628" s="107"/>
      <c r="M628" s="102"/>
    </row>
    <row r="629" spans="1:13">
      <c r="A629" s="96"/>
      <c r="B629" s="97"/>
      <c r="C629" s="115"/>
      <c r="D629" s="115"/>
      <c r="E629" s="115"/>
      <c r="F629" s="105"/>
      <c r="G629" s="96"/>
      <c r="H629" s="97"/>
      <c r="I629" s="96"/>
      <c r="J629" s="96"/>
      <c r="K629" s="107"/>
      <c r="L629" s="107"/>
      <c r="M629" s="102"/>
    </row>
    <row r="630" spans="1:13">
      <c r="A630" s="96"/>
      <c r="B630" s="97"/>
      <c r="C630" s="115"/>
      <c r="D630" s="115"/>
      <c r="E630" s="115"/>
      <c r="F630" s="105"/>
      <c r="G630" s="96"/>
      <c r="H630" s="97"/>
      <c r="I630" s="96"/>
      <c r="J630" s="96"/>
      <c r="K630" s="107"/>
      <c r="L630" s="107"/>
      <c r="M630" s="102"/>
    </row>
    <row r="631" spans="1:13">
      <c r="A631" s="96"/>
      <c r="B631" s="97"/>
      <c r="C631" s="115"/>
      <c r="D631" s="115"/>
      <c r="E631" s="115"/>
      <c r="F631" s="105"/>
      <c r="G631" s="96"/>
      <c r="H631" s="97"/>
      <c r="I631" s="96"/>
      <c r="J631" s="96"/>
      <c r="K631" s="107"/>
      <c r="L631" s="107"/>
      <c r="M631" s="102"/>
    </row>
    <row r="632" spans="1:13">
      <c r="A632" s="96"/>
      <c r="B632" s="97"/>
      <c r="C632" s="115"/>
      <c r="D632" s="115"/>
      <c r="E632" s="115"/>
      <c r="F632" s="105"/>
      <c r="G632" s="96"/>
      <c r="H632" s="97"/>
      <c r="I632" s="96"/>
      <c r="J632" s="96"/>
      <c r="K632" s="107"/>
      <c r="L632" s="107"/>
      <c r="M632" s="102"/>
    </row>
    <row r="633" spans="1:13">
      <c r="A633" s="96"/>
      <c r="B633" s="97"/>
      <c r="C633" s="115"/>
      <c r="D633" s="115"/>
      <c r="E633" s="115"/>
      <c r="F633" s="105"/>
      <c r="G633" s="96"/>
      <c r="H633" s="97"/>
      <c r="I633" s="96"/>
      <c r="J633" s="96"/>
      <c r="K633" s="107"/>
      <c r="L633" s="107"/>
      <c r="M633" s="102"/>
    </row>
    <row r="634" spans="1:13">
      <c r="A634" s="96"/>
      <c r="B634" s="97"/>
      <c r="C634" s="115"/>
      <c r="D634" s="115"/>
      <c r="E634" s="115"/>
      <c r="F634" s="105"/>
      <c r="G634" s="96"/>
      <c r="H634" s="97"/>
      <c r="I634" s="96"/>
      <c r="J634" s="96"/>
      <c r="K634" s="107"/>
      <c r="L634" s="107"/>
      <c r="M634" s="102"/>
    </row>
    <row r="635" spans="1:13">
      <c r="A635" s="96"/>
      <c r="B635" s="97"/>
      <c r="C635" s="115"/>
      <c r="D635" s="115"/>
      <c r="E635" s="115"/>
      <c r="F635" s="105"/>
      <c r="G635" s="96"/>
      <c r="H635" s="97"/>
      <c r="I635" s="96"/>
      <c r="J635" s="96"/>
      <c r="K635" s="107"/>
      <c r="L635" s="107"/>
      <c r="M635" s="102"/>
    </row>
    <row r="636" spans="1:13">
      <c r="A636" s="96"/>
      <c r="B636" s="97"/>
      <c r="C636" s="115"/>
      <c r="D636" s="115"/>
      <c r="E636" s="115"/>
      <c r="F636" s="105"/>
      <c r="G636" s="96"/>
      <c r="H636" s="97"/>
      <c r="I636" s="96"/>
      <c r="J636" s="96"/>
      <c r="K636" s="107"/>
      <c r="L636" s="107"/>
      <c r="M636" s="102"/>
    </row>
    <row r="637" spans="1:13">
      <c r="A637" s="96"/>
      <c r="B637" s="97"/>
      <c r="C637" s="115"/>
      <c r="D637" s="115"/>
      <c r="E637" s="115"/>
      <c r="F637" s="105"/>
      <c r="G637" s="96"/>
      <c r="H637" s="97"/>
      <c r="I637" s="96"/>
      <c r="J637" s="96"/>
      <c r="K637" s="107"/>
      <c r="L637" s="107"/>
      <c r="M637" s="102"/>
    </row>
    <row r="638" spans="1:13">
      <c r="A638" s="96"/>
      <c r="B638" s="97"/>
      <c r="C638" s="115"/>
      <c r="D638" s="115"/>
      <c r="E638" s="115"/>
      <c r="F638" s="105"/>
      <c r="G638" s="96"/>
      <c r="H638" s="97"/>
      <c r="I638" s="96"/>
      <c r="J638" s="96"/>
      <c r="K638" s="107"/>
      <c r="L638" s="107"/>
      <c r="M638" s="102"/>
    </row>
    <row r="639" spans="1:13">
      <c r="A639" s="96"/>
      <c r="B639" s="97"/>
      <c r="C639" s="115"/>
      <c r="D639" s="115"/>
      <c r="E639" s="115"/>
      <c r="F639" s="105"/>
      <c r="G639" s="96"/>
      <c r="H639" s="97"/>
      <c r="I639" s="96"/>
      <c r="J639" s="96"/>
      <c r="K639" s="107"/>
      <c r="L639" s="107"/>
      <c r="M639" s="102"/>
    </row>
    <row r="640" spans="1:13">
      <c r="A640" s="96"/>
      <c r="B640" s="97"/>
      <c r="C640" s="115"/>
      <c r="D640" s="115"/>
      <c r="E640" s="115"/>
      <c r="F640" s="105"/>
      <c r="G640" s="96"/>
      <c r="H640" s="97"/>
      <c r="I640" s="96"/>
      <c r="J640" s="96"/>
      <c r="K640" s="107"/>
      <c r="L640" s="107"/>
      <c r="M640" s="102"/>
    </row>
    <row r="641" spans="1:13">
      <c r="A641" s="96"/>
      <c r="B641" s="97"/>
      <c r="C641" s="115"/>
      <c r="D641" s="115"/>
      <c r="E641" s="115"/>
      <c r="F641" s="105"/>
      <c r="G641" s="96"/>
      <c r="H641" s="97"/>
      <c r="I641" s="96"/>
      <c r="J641" s="96"/>
      <c r="K641" s="107"/>
      <c r="L641" s="107"/>
      <c r="M641" s="102"/>
    </row>
    <row r="642" spans="1:13">
      <c r="A642" s="96"/>
      <c r="B642" s="97"/>
      <c r="C642" s="115"/>
      <c r="D642" s="115"/>
      <c r="E642" s="115"/>
      <c r="F642" s="105"/>
      <c r="G642" s="96"/>
      <c r="H642" s="97"/>
      <c r="I642" s="96"/>
      <c r="J642" s="96"/>
      <c r="K642" s="107"/>
      <c r="L642" s="107"/>
      <c r="M642" s="102"/>
    </row>
    <row r="643" spans="1:13">
      <c r="A643" s="96"/>
      <c r="B643" s="97"/>
      <c r="C643" s="115"/>
      <c r="D643" s="115"/>
      <c r="E643" s="115"/>
      <c r="F643" s="105"/>
      <c r="G643" s="96"/>
      <c r="H643" s="97"/>
      <c r="I643" s="96"/>
      <c r="J643" s="96"/>
      <c r="K643" s="107"/>
      <c r="L643" s="107"/>
      <c r="M643" s="102"/>
    </row>
    <row r="644" spans="1:13">
      <c r="A644" s="96"/>
      <c r="B644" s="97"/>
      <c r="C644" s="115"/>
      <c r="D644" s="115"/>
      <c r="E644" s="115"/>
      <c r="F644" s="105"/>
      <c r="G644" s="96"/>
      <c r="H644" s="97"/>
      <c r="I644" s="96"/>
      <c r="J644" s="96"/>
      <c r="K644" s="107"/>
      <c r="L644" s="107"/>
      <c r="M644" s="102"/>
    </row>
    <row r="645" spans="1:13">
      <c r="A645" s="96"/>
      <c r="B645" s="97"/>
      <c r="C645" s="115"/>
      <c r="D645" s="115"/>
      <c r="E645" s="115"/>
      <c r="F645" s="105"/>
      <c r="G645" s="96"/>
      <c r="H645" s="97"/>
      <c r="I645" s="96"/>
      <c r="J645" s="96"/>
      <c r="K645" s="107"/>
      <c r="L645" s="107"/>
      <c r="M645" s="102"/>
    </row>
    <row r="646" spans="1:13">
      <c r="A646" s="96"/>
      <c r="B646" s="97"/>
      <c r="C646" s="115"/>
      <c r="D646" s="115"/>
      <c r="E646" s="115"/>
      <c r="F646" s="105"/>
      <c r="G646" s="96"/>
      <c r="H646" s="97"/>
      <c r="I646" s="96"/>
      <c r="J646" s="96"/>
      <c r="K646" s="107"/>
      <c r="L646" s="107"/>
      <c r="M646" s="102"/>
    </row>
    <row r="647" spans="1:13">
      <c r="A647" s="96"/>
      <c r="B647" s="97"/>
      <c r="C647" s="115"/>
      <c r="D647" s="115"/>
      <c r="E647" s="115"/>
      <c r="F647" s="105"/>
      <c r="G647" s="96"/>
      <c r="H647" s="97"/>
      <c r="I647" s="96"/>
      <c r="J647" s="96"/>
      <c r="K647" s="107"/>
      <c r="L647" s="107"/>
      <c r="M647" s="102"/>
    </row>
    <row r="648" spans="1:13">
      <c r="A648" s="96"/>
      <c r="B648" s="97"/>
      <c r="C648" s="115"/>
      <c r="D648" s="115"/>
      <c r="E648" s="115"/>
      <c r="F648" s="105"/>
      <c r="G648" s="96"/>
      <c r="H648" s="97"/>
      <c r="I648" s="96"/>
      <c r="J648" s="96"/>
      <c r="K648" s="107"/>
      <c r="L648" s="107"/>
      <c r="M648" s="102"/>
    </row>
    <row r="649" spans="1:13">
      <c r="A649" s="96"/>
      <c r="B649" s="97"/>
      <c r="C649" s="115"/>
      <c r="D649" s="115"/>
      <c r="E649" s="115"/>
      <c r="F649" s="105"/>
      <c r="G649" s="96"/>
      <c r="H649" s="97"/>
      <c r="I649" s="96"/>
      <c r="J649" s="96"/>
      <c r="K649" s="107"/>
      <c r="L649" s="107"/>
      <c r="M649" s="102"/>
    </row>
    <row r="650" spans="1:13">
      <c r="A650" s="96"/>
      <c r="B650" s="97"/>
      <c r="C650" s="115"/>
      <c r="D650" s="115"/>
      <c r="E650" s="115"/>
      <c r="F650" s="105"/>
      <c r="G650" s="96"/>
      <c r="H650" s="97"/>
      <c r="I650" s="96"/>
      <c r="J650" s="96"/>
      <c r="K650" s="107"/>
      <c r="L650" s="107"/>
      <c r="M650" s="102"/>
    </row>
    <row r="651" spans="1:13">
      <c r="A651" s="96"/>
      <c r="B651" s="97"/>
      <c r="C651" s="115"/>
      <c r="D651" s="115"/>
      <c r="E651" s="115"/>
      <c r="F651" s="105"/>
      <c r="G651" s="96"/>
      <c r="H651" s="97"/>
      <c r="I651" s="96"/>
      <c r="J651" s="96"/>
      <c r="K651" s="107"/>
      <c r="L651" s="107"/>
      <c r="M651" s="102"/>
    </row>
    <row r="652" spans="1:13">
      <c r="A652" s="96"/>
      <c r="B652" s="97"/>
      <c r="C652" s="115"/>
      <c r="D652" s="115"/>
      <c r="E652" s="115"/>
      <c r="F652" s="105"/>
      <c r="G652" s="96"/>
      <c r="H652" s="97"/>
      <c r="I652" s="96"/>
      <c r="J652" s="96"/>
      <c r="K652" s="107"/>
      <c r="L652" s="107"/>
      <c r="M652" s="102"/>
    </row>
    <row r="653" spans="1:13">
      <c r="A653" s="96"/>
      <c r="B653" s="97"/>
      <c r="C653" s="115"/>
      <c r="D653" s="115"/>
      <c r="E653" s="115"/>
      <c r="F653" s="105"/>
      <c r="G653" s="96"/>
      <c r="H653" s="97"/>
      <c r="I653" s="96"/>
      <c r="J653" s="96"/>
      <c r="K653" s="107"/>
      <c r="L653" s="107"/>
      <c r="M653" s="102"/>
    </row>
    <row r="654" spans="1:13">
      <c r="A654" s="96"/>
      <c r="B654" s="97"/>
      <c r="C654" s="115"/>
      <c r="D654" s="115"/>
      <c r="E654" s="115"/>
      <c r="F654" s="105"/>
      <c r="G654" s="96"/>
      <c r="H654" s="97"/>
      <c r="I654" s="96"/>
      <c r="J654" s="96"/>
      <c r="K654" s="107"/>
      <c r="L654" s="107"/>
      <c r="M654" s="102"/>
    </row>
    <row r="655" spans="1:13">
      <c r="A655" s="96"/>
      <c r="B655" s="97"/>
      <c r="C655" s="115"/>
      <c r="D655" s="115"/>
      <c r="E655" s="115"/>
      <c r="F655" s="105"/>
      <c r="G655" s="96"/>
      <c r="H655" s="97"/>
      <c r="I655" s="96"/>
      <c r="J655" s="96"/>
      <c r="K655" s="107"/>
      <c r="L655" s="107"/>
      <c r="M655" s="102"/>
    </row>
    <row r="656" spans="1:13">
      <c r="A656" s="96"/>
      <c r="B656" s="97"/>
      <c r="C656" s="115"/>
      <c r="D656" s="115"/>
      <c r="E656" s="115"/>
      <c r="F656" s="105"/>
      <c r="G656" s="96"/>
      <c r="H656" s="97"/>
      <c r="I656" s="96"/>
      <c r="J656" s="96"/>
      <c r="K656" s="107"/>
      <c r="L656" s="107"/>
      <c r="M656" s="102"/>
    </row>
    <row r="657" spans="1:13">
      <c r="A657" s="96"/>
      <c r="B657" s="97"/>
      <c r="C657" s="115"/>
      <c r="D657" s="115"/>
      <c r="E657" s="115"/>
      <c r="F657" s="105"/>
      <c r="G657" s="96"/>
      <c r="H657" s="97"/>
      <c r="I657" s="96"/>
      <c r="J657" s="96"/>
      <c r="K657" s="107"/>
      <c r="L657" s="107"/>
      <c r="M657" s="102"/>
    </row>
    <row r="658" spans="1:13">
      <c r="A658" s="96"/>
      <c r="B658" s="97"/>
      <c r="C658" s="115"/>
      <c r="D658" s="115"/>
      <c r="E658" s="115"/>
      <c r="F658" s="105"/>
      <c r="G658" s="96"/>
      <c r="H658" s="97"/>
      <c r="I658" s="96"/>
      <c r="J658" s="96"/>
      <c r="K658" s="107"/>
      <c r="L658" s="107"/>
      <c r="M658" s="102"/>
    </row>
    <row r="659" spans="1:13">
      <c r="A659" s="96"/>
      <c r="B659" s="97"/>
      <c r="C659" s="115"/>
      <c r="D659" s="115"/>
      <c r="E659" s="115"/>
      <c r="F659" s="105"/>
      <c r="G659" s="96"/>
      <c r="H659" s="97"/>
      <c r="I659" s="96"/>
      <c r="J659" s="96"/>
      <c r="K659" s="107"/>
      <c r="L659" s="107"/>
      <c r="M659" s="102"/>
    </row>
    <row r="660" spans="1:13">
      <c r="A660" s="96"/>
      <c r="B660" s="97"/>
      <c r="C660" s="115"/>
      <c r="D660" s="115"/>
      <c r="E660" s="115"/>
      <c r="F660" s="105"/>
      <c r="G660" s="96"/>
      <c r="H660" s="97"/>
      <c r="I660" s="96"/>
      <c r="J660" s="96"/>
      <c r="K660" s="107"/>
      <c r="L660" s="107"/>
      <c r="M660" s="102"/>
    </row>
    <row r="661" spans="1:13">
      <c r="A661" s="96"/>
      <c r="B661" s="97"/>
      <c r="C661" s="115"/>
      <c r="D661" s="115"/>
      <c r="E661" s="115"/>
      <c r="F661" s="105"/>
      <c r="G661" s="96"/>
      <c r="H661" s="97"/>
      <c r="I661" s="96"/>
      <c r="J661" s="96"/>
      <c r="K661" s="107"/>
      <c r="L661" s="107"/>
      <c r="M661" s="102"/>
    </row>
    <row r="662" spans="1:13">
      <c r="A662" s="96"/>
      <c r="B662" s="97"/>
      <c r="C662" s="115"/>
      <c r="D662" s="115"/>
      <c r="E662" s="115"/>
      <c r="F662" s="105"/>
      <c r="G662" s="96"/>
      <c r="H662" s="97"/>
      <c r="I662" s="96"/>
      <c r="J662" s="96"/>
      <c r="K662" s="107"/>
      <c r="L662" s="107"/>
      <c r="M662" s="102"/>
    </row>
    <row r="663" spans="1:13">
      <c r="A663" s="96"/>
      <c r="B663" s="97"/>
      <c r="C663" s="115"/>
      <c r="D663" s="115"/>
      <c r="E663" s="115"/>
      <c r="F663" s="105"/>
      <c r="G663" s="96"/>
      <c r="H663" s="97"/>
      <c r="I663" s="96"/>
      <c r="J663" s="96"/>
      <c r="K663" s="107"/>
      <c r="L663" s="107"/>
      <c r="M663" s="102"/>
    </row>
    <row r="664" spans="1:13">
      <c r="A664" s="96"/>
      <c r="B664" s="97"/>
      <c r="C664" s="115"/>
      <c r="D664" s="115"/>
      <c r="E664" s="115"/>
      <c r="F664" s="105"/>
      <c r="G664" s="96"/>
      <c r="H664" s="97"/>
      <c r="I664" s="96"/>
      <c r="J664" s="96"/>
      <c r="K664" s="107"/>
      <c r="L664" s="107"/>
      <c r="M664" s="102"/>
    </row>
    <row r="665" spans="1:13">
      <c r="A665" s="96"/>
      <c r="B665" s="97"/>
      <c r="C665" s="115"/>
      <c r="D665" s="115"/>
      <c r="E665" s="115"/>
      <c r="F665" s="105"/>
      <c r="G665" s="96"/>
      <c r="H665" s="97"/>
      <c r="I665" s="96"/>
      <c r="J665" s="96"/>
      <c r="K665" s="107"/>
      <c r="L665" s="107"/>
      <c r="M665" s="102"/>
    </row>
    <row r="666" spans="1:13">
      <c r="A666" s="96"/>
      <c r="B666" s="97"/>
      <c r="C666" s="115"/>
      <c r="D666" s="115"/>
      <c r="E666" s="115"/>
      <c r="F666" s="105"/>
      <c r="G666" s="96"/>
      <c r="H666" s="97"/>
      <c r="I666" s="96"/>
      <c r="J666" s="96"/>
      <c r="K666" s="107"/>
      <c r="L666" s="107"/>
      <c r="M666" s="102"/>
    </row>
    <row r="667" spans="1:13">
      <c r="A667" s="96"/>
      <c r="B667" s="97"/>
      <c r="C667" s="115"/>
      <c r="D667" s="115"/>
      <c r="E667" s="115"/>
      <c r="F667" s="105"/>
      <c r="G667" s="96"/>
      <c r="H667" s="97"/>
      <c r="I667" s="96"/>
      <c r="J667" s="96"/>
      <c r="K667" s="107"/>
      <c r="L667" s="107"/>
      <c r="M667" s="102"/>
    </row>
    <row r="668" spans="1:13">
      <c r="A668" s="96"/>
      <c r="B668" s="97"/>
      <c r="C668" s="115"/>
      <c r="D668" s="115"/>
      <c r="E668" s="115"/>
      <c r="F668" s="105"/>
      <c r="G668" s="96"/>
      <c r="H668" s="97"/>
      <c r="I668" s="96"/>
      <c r="J668" s="96"/>
      <c r="K668" s="107"/>
      <c r="L668" s="107"/>
      <c r="M668" s="102"/>
    </row>
    <row r="669" spans="1:13">
      <c r="A669" s="96"/>
      <c r="B669" s="97"/>
      <c r="C669" s="115"/>
      <c r="D669" s="115"/>
      <c r="E669" s="115"/>
      <c r="F669" s="105"/>
      <c r="G669" s="96"/>
      <c r="H669" s="97"/>
      <c r="I669" s="96"/>
      <c r="J669" s="96"/>
      <c r="K669" s="107"/>
      <c r="L669" s="107"/>
      <c r="M669" s="102"/>
    </row>
    <row r="670" spans="1:13">
      <c r="A670" s="96"/>
      <c r="B670" s="97"/>
      <c r="C670" s="115"/>
      <c r="D670" s="115"/>
      <c r="E670" s="115"/>
      <c r="F670" s="105"/>
      <c r="G670" s="96"/>
      <c r="H670" s="97"/>
      <c r="I670" s="96"/>
      <c r="J670" s="96"/>
      <c r="K670" s="107"/>
      <c r="L670" s="107"/>
      <c r="M670" s="102"/>
    </row>
    <row r="671" spans="1:13">
      <c r="A671" s="96"/>
      <c r="B671" s="97"/>
      <c r="C671" s="115"/>
      <c r="D671" s="115"/>
      <c r="E671" s="115"/>
      <c r="F671" s="105"/>
      <c r="G671" s="96"/>
      <c r="H671" s="97"/>
      <c r="I671" s="96"/>
      <c r="J671" s="96"/>
      <c r="K671" s="107"/>
      <c r="L671" s="107"/>
      <c r="M671" s="102"/>
    </row>
    <row r="672" spans="1:13">
      <c r="A672" s="96"/>
      <c r="B672" s="97"/>
      <c r="C672" s="115"/>
      <c r="D672" s="115"/>
      <c r="E672" s="115"/>
      <c r="F672" s="105"/>
      <c r="G672" s="96"/>
      <c r="H672" s="97"/>
      <c r="I672" s="96"/>
      <c r="J672" s="96"/>
      <c r="K672" s="107"/>
      <c r="L672" s="107"/>
      <c r="M672" s="102"/>
    </row>
    <row r="673" spans="1:13">
      <c r="A673" s="96"/>
      <c r="B673" s="97"/>
      <c r="C673" s="115"/>
      <c r="D673" s="115"/>
      <c r="E673" s="115"/>
      <c r="F673" s="105"/>
      <c r="G673" s="96"/>
      <c r="H673" s="97"/>
      <c r="I673" s="96"/>
      <c r="J673" s="96"/>
      <c r="K673" s="107"/>
      <c r="L673" s="107"/>
      <c r="M673" s="102"/>
    </row>
    <row r="674" spans="1:13">
      <c r="A674" s="96"/>
      <c r="B674" s="97"/>
      <c r="C674" s="115"/>
      <c r="D674" s="115"/>
      <c r="E674" s="115"/>
      <c r="F674" s="105"/>
      <c r="G674" s="96"/>
      <c r="H674" s="97"/>
      <c r="I674" s="96"/>
      <c r="J674" s="96"/>
      <c r="K674" s="107"/>
      <c r="L674" s="107"/>
      <c r="M674" s="102"/>
    </row>
    <row r="675" spans="1:13">
      <c r="A675" s="96"/>
      <c r="B675" s="97"/>
      <c r="C675" s="115"/>
      <c r="D675" s="115"/>
      <c r="E675" s="115"/>
      <c r="F675" s="105"/>
      <c r="G675" s="96"/>
      <c r="H675" s="97"/>
      <c r="I675" s="96"/>
      <c r="J675" s="96"/>
      <c r="K675" s="107"/>
      <c r="L675" s="107"/>
      <c r="M675" s="102"/>
    </row>
    <row r="676" spans="1:13">
      <c r="A676" s="96"/>
      <c r="B676" s="97"/>
      <c r="C676" s="115"/>
      <c r="D676" s="115"/>
      <c r="E676" s="115"/>
      <c r="F676" s="105"/>
      <c r="G676" s="96"/>
      <c r="H676" s="97"/>
      <c r="I676" s="96"/>
      <c r="J676" s="96"/>
      <c r="K676" s="107"/>
      <c r="L676" s="107"/>
      <c r="M676" s="102"/>
    </row>
    <row r="677" spans="1:13">
      <c r="A677" s="96"/>
      <c r="B677" s="97"/>
      <c r="C677" s="115"/>
      <c r="D677" s="115"/>
      <c r="E677" s="115"/>
      <c r="F677" s="105"/>
      <c r="G677" s="96"/>
      <c r="H677" s="97"/>
      <c r="I677" s="96"/>
      <c r="J677" s="96"/>
      <c r="K677" s="107"/>
      <c r="L677" s="107"/>
      <c r="M677" s="102"/>
    </row>
    <row r="678" spans="1:13">
      <c r="A678" s="96"/>
      <c r="B678" s="97"/>
      <c r="C678" s="115"/>
      <c r="D678" s="115"/>
      <c r="E678" s="115"/>
      <c r="F678" s="105"/>
      <c r="G678" s="96"/>
      <c r="H678" s="97"/>
      <c r="I678" s="96"/>
      <c r="J678" s="96"/>
      <c r="K678" s="107"/>
      <c r="L678" s="107"/>
      <c r="M678" s="102"/>
    </row>
    <row r="679" spans="1:13">
      <c r="A679" s="96"/>
      <c r="B679" s="97"/>
      <c r="C679" s="115"/>
      <c r="D679" s="115"/>
      <c r="E679" s="115"/>
      <c r="F679" s="105"/>
      <c r="G679" s="96"/>
      <c r="H679" s="97"/>
      <c r="I679" s="96"/>
      <c r="J679" s="96"/>
      <c r="K679" s="107"/>
      <c r="L679" s="107"/>
      <c r="M679" s="102"/>
    </row>
    <row r="680" spans="1:13">
      <c r="A680" s="96"/>
      <c r="B680" s="97"/>
      <c r="C680" s="115"/>
      <c r="D680" s="115"/>
      <c r="E680" s="115"/>
      <c r="F680" s="105"/>
      <c r="G680" s="96"/>
      <c r="H680" s="97"/>
      <c r="I680" s="96"/>
      <c r="J680" s="96"/>
      <c r="K680" s="107"/>
      <c r="L680" s="107"/>
      <c r="M680" s="102"/>
    </row>
    <row r="681" spans="1:13">
      <c r="A681" s="96"/>
      <c r="B681" s="97"/>
      <c r="C681" s="115"/>
      <c r="D681" s="115"/>
      <c r="E681" s="115"/>
      <c r="F681" s="105"/>
      <c r="G681" s="96"/>
      <c r="H681" s="97"/>
      <c r="I681" s="96"/>
      <c r="J681" s="96"/>
      <c r="K681" s="107"/>
      <c r="L681" s="107"/>
      <c r="M681" s="102"/>
    </row>
    <row r="682" spans="1:13">
      <c r="A682" s="96"/>
      <c r="B682" s="97"/>
      <c r="C682" s="115"/>
      <c r="D682" s="115"/>
      <c r="E682" s="115"/>
      <c r="F682" s="105"/>
      <c r="G682" s="96"/>
      <c r="H682" s="97"/>
      <c r="I682" s="96"/>
      <c r="J682" s="96"/>
      <c r="K682" s="107"/>
      <c r="L682" s="107"/>
      <c r="M682" s="102"/>
    </row>
    <row r="683" spans="1:13">
      <c r="A683" s="96"/>
      <c r="B683" s="97"/>
      <c r="C683" s="115"/>
      <c r="D683" s="115"/>
      <c r="E683" s="115"/>
      <c r="F683" s="105"/>
      <c r="G683" s="96"/>
      <c r="H683" s="97"/>
      <c r="I683" s="96"/>
      <c r="J683" s="96"/>
      <c r="K683" s="107"/>
      <c r="L683" s="107"/>
      <c r="M683" s="102"/>
    </row>
    <row r="684" spans="1:13">
      <c r="A684" s="96"/>
      <c r="B684" s="97"/>
      <c r="C684" s="115"/>
      <c r="D684" s="115"/>
      <c r="E684" s="115"/>
      <c r="F684" s="105"/>
      <c r="G684" s="96"/>
      <c r="H684" s="97"/>
      <c r="I684" s="96"/>
      <c r="J684" s="96"/>
      <c r="K684" s="107"/>
      <c r="L684" s="107"/>
      <c r="M684" s="102"/>
    </row>
    <row r="685" spans="1:13">
      <c r="A685" s="96"/>
      <c r="B685" s="97"/>
      <c r="C685" s="115"/>
      <c r="D685" s="115"/>
      <c r="E685" s="115"/>
      <c r="F685" s="105"/>
      <c r="G685" s="96"/>
      <c r="H685" s="97"/>
      <c r="I685" s="96"/>
      <c r="J685" s="96"/>
      <c r="K685" s="107"/>
      <c r="L685" s="107"/>
      <c r="M685" s="102"/>
    </row>
    <row r="686" spans="1:13">
      <c r="A686" s="96"/>
      <c r="B686" s="97"/>
      <c r="C686" s="115"/>
      <c r="D686" s="115"/>
      <c r="E686" s="115"/>
      <c r="F686" s="105"/>
      <c r="G686" s="96"/>
      <c r="H686" s="97"/>
      <c r="I686" s="96"/>
      <c r="J686" s="96"/>
      <c r="K686" s="107"/>
      <c r="L686" s="107"/>
      <c r="M686" s="102"/>
    </row>
    <row r="687" spans="1:13">
      <c r="A687" s="96"/>
      <c r="B687" s="97"/>
      <c r="C687" s="115"/>
      <c r="D687" s="115"/>
      <c r="E687" s="115"/>
      <c r="F687" s="105"/>
      <c r="G687" s="96"/>
      <c r="H687" s="97"/>
      <c r="I687" s="96"/>
      <c r="J687" s="96"/>
      <c r="K687" s="107"/>
      <c r="L687" s="107"/>
      <c r="M687" s="102"/>
    </row>
    <row r="688" spans="1:13">
      <c r="A688" s="96"/>
      <c r="B688" s="97"/>
      <c r="C688" s="115"/>
      <c r="D688" s="115"/>
      <c r="E688" s="115"/>
      <c r="F688" s="105"/>
      <c r="G688" s="96"/>
      <c r="H688" s="97"/>
      <c r="I688" s="96"/>
      <c r="J688" s="96"/>
      <c r="K688" s="107"/>
      <c r="L688" s="107"/>
      <c r="M688" s="102"/>
    </row>
    <row r="689" spans="1:13">
      <c r="A689" s="96"/>
      <c r="B689" s="97"/>
      <c r="C689" s="115"/>
      <c r="D689" s="115"/>
      <c r="E689" s="115"/>
      <c r="F689" s="105"/>
      <c r="G689" s="96"/>
      <c r="H689" s="97"/>
      <c r="I689" s="96"/>
      <c r="J689" s="96"/>
      <c r="K689" s="107"/>
      <c r="L689" s="107"/>
      <c r="M689" s="102"/>
    </row>
    <row r="690" spans="1:13">
      <c r="A690" s="96"/>
      <c r="B690" s="97"/>
      <c r="C690" s="115"/>
      <c r="D690" s="115"/>
      <c r="E690" s="115"/>
      <c r="F690" s="105"/>
      <c r="G690" s="96"/>
      <c r="H690" s="97"/>
      <c r="I690" s="96"/>
      <c r="J690" s="96"/>
      <c r="K690" s="107"/>
      <c r="L690" s="107"/>
      <c r="M690" s="102"/>
    </row>
    <row r="691" spans="1:13">
      <c r="A691" s="96"/>
      <c r="B691" s="97"/>
      <c r="C691" s="115"/>
      <c r="D691" s="115"/>
      <c r="E691" s="115"/>
      <c r="F691" s="105"/>
      <c r="G691" s="96"/>
      <c r="H691" s="97"/>
      <c r="I691" s="96"/>
      <c r="J691" s="96"/>
      <c r="K691" s="107"/>
      <c r="L691" s="107"/>
      <c r="M691" s="102"/>
    </row>
    <row r="692" spans="1:13">
      <c r="A692" s="96"/>
      <c r="B692" s="97"/>
      <c r="C692" s="115"/>
      <c r="D692" s="115"/>
      <c r="E692" s="115"/>
      <c r="F692" s="105"/>
      <c r="G692" s="96"/>
      <c r="H692" s="97"/>
      <c r="I692" s="96"/>
      <c r="J692" s="96"/>
      <c r="K692" s="107"/>
      <c r="L692" s="107"/>
      <c r="M692" s="102"/>
    </row>
    <row r="693" spans="1:13">
      <c r="A693" s="96"/>
      <c r="B693" s="97"/>
      <c r="C693" s="115"/>
      <c r="D693" s="115"/>
      <c r="E693" s="115"/>
      <c r="F693" s="105"/>
      <c r="G693" s="96"/>
      <c r="H693" s="97"/>
      <c r="I693" s="96"/>
      <c r="J693" s="96"/>
      <c r="K693" s="107"/>
      <c r="L693" s="107"/>
      <c r="M693" s="102"/>
    </row>
    <row r="694" spans="1:13">
      <c r="A694" s="96"/>
      <c r="B694" s="97"/>
      <c r="C694" s="115"/>
      <c r="D694" s="115"/>
      <c r="E694" s="115"/>
      <c r="F694" s="105"/>
      <c r="G694" s="96"/>
      <c r="H694" s="97"/>
      <c r="I694" s="96"/>
      <c r="J694" s="96"/>
      <c r="K694" s="107"/>
      <c r="L694" s="107"/>
      <c r="M694" s="102"/>
    </row>
    <row r="695" spans="1:13">
      <c r="A695" s="96"/>
      <c r="B695" s="97"/>
      <c r="C695" s="115"/>
      <c r="D695" s="115"/>
      <c r="E695" s="115"/>
      <c r="F695" s="105"/>
      <c r="G695" s="96"/>
      <c r="H695" s="97"/>
      <c r="I695" s="96"/>
      <c r="J695" s="96"/>
      <c r="K695" s="107"/>
      <c r="L695" s="107"/>
      <c r="M695" s="102"/>
    </row>
    <row r="696" spans="1:13">
      <c r="A696" s="96"/>
      <c r="B696" s="97"/>
      <c r="C696" s="115"/>
      <c r="D696" s="115"/>
      <c r="E696" s="115"/>
      <c r="F696" s="105"/>
      <c r="G696" s="96"/>
      <c r="H696" s="97"/>
      <c r="I696" s="96"/>
      <c r="J696" s="96"/>
      <c r="K696" s="107"/>
      <c r="L696" s="107"/>
      <c r="M696" s="102"/>
    </row>
    <row r="697" spans="1:13">
      <c r="A697" s="96"/>
      <c r="B697" s="97"/>
      <c r="C697" s="115"/>
      <c r="D697" s="115"/>
      <c r="E697" s="115"/>
      <c r="F697" s="105"/>
      <c r="G697" s="96"/>
      <c r="H697" s="97"/>
      <c r="I697" s="96"/>
      <c r="J697" s="96"/>
      <c r="K697" s="107"/>
      <c r="L697" s="107"/>
      <c r="M697" s="102"/>
    </row>
    <row r="698" spans="1:13">
      <c r="A698" s="96"/>
      <c r="B698" s="97"/>
      <c r="C698" s="115"/>
      <c r="D698" s="115"/>
      <c r="E698" s="115"/>
      <c r="F698" s="105"/>
      <c r="G698" s="96"/>
      <c r="H698" s="97"/>
      <c r="I698" s="96"/>
      <c r="J698" s="96"/>
      <c r="K698" s="107"/>
      <c r="L698" s="107"/>
      <c r="M698" s="102"/>
    </row>
    <row r="699" spans="1:13">
      <c r="A699" s="96"/>
      <c r="B699" s="97"/>
      <c r="C699" s="115"/>
      <c r="D699" s="115"/>
      <c r="E699" s="115"/>
      <c r="F699" s="105"/>
      <c r="G699" s="96"/>
      <c r="H699" s="97"/>
      <c r="I699" s="96"/>
      <c r="J699" s="96"/>
      <c r="K699" s="107"/>
      <c r="L699" s="107"/>
      <c r="M699" s="102"/>
    </row>
    <row r="700" spans="1:13">
      <c r="A700" s="96"/>
      <c r="B700" s="97"/>
      <c r="C700" s="115"/>
      <c r="D700" s="115"/>
      <c r="E700" s="115"/>
      <c r="F700" s="105"/>
      <c r="G700" s="96"/>
      <c r="H700" s="97"/>
      <c r="I700" s="96"/>
      <c r="J700" s="96"/>
      <c r="K700" s="107"/>
      <c r="L700" s="107"/>
      <c r="M700" s="102"/>
    </row>
    <row r="701" spans="1:13">
      <c r="A701" s="96"/>
      <c r="B701" s="97"/>
      <c r="C701" s="115"/>
      <c r="D701" s="115"/>
      <c r="E701" s="115"/>
      <c r="F701" s="105"/>
      <c r="G701" s="96"/>
      <c r="H701" s="97"/>
      <c r="I701" s="96"/>
      <c r="J701" s="96"/>
      <c r="K701" s="107"/>
      <c r="L701" s="107"/>
      <c r="M701" s="102"/>
    </row>
    <row r="702" spans="1:13">
      <c r="A702" s="96"/>
      <c r="B702" s="97"/>
      <c r="C702" s="115"/>
      <c r="D702" s="115"/>
      <c r="E702" s="115"/>
      <c r="F702" s="105"/>
      <c r="G702" s="96"/>
      <c r="H702" s="97"/>
      <c r="I702" s="96"/>
      <c r="J702" s="96"/>
      <c r="K702" s="107"/>
      <c r="L702" s="107"/>
      <c r="M702" s="102"/>
    </row>
    <row r="703" spans="1:13">
      <c r="A703" s="96"/>
      <c r="B703" s="97"/>
      <c r="C703" s="115"/>
      <c r="D703" s="115"/>
      <c r="E703" s="115"/>
      <c r="F703" s="105"/>
      <c r="G703" s="96"/>
      <c r="H703" s="97"/>
      <c r="I703" s="96"/>
      <c r="J703" s="96"/>
      <c r="K703" s="107"/>
      <c r="L703" s="107"/>
      <c r="M703" s="102"/>
    </row>
    <row r="704" spans="1:13">
      <c r="A704" s="96"/>
      <c r="B704" s="97"/>
      <c r="C704" s="115"/>
      <c r="D704" s="115"/>
      <c r="E704" s="115"/>
      <c r="F704" s="105"/>
      <c r="G704" s="96"/>
      <c r="H704" s="97"/>
      <c r="I704" s="96"/>
      <c r="J704" s="96"/>
      <c r="K704" s="107"/>
      <c r="L704" s="107"/>
      <c r="M704" s="102"/>
    </row>
    <row r="705" spans="1:13">
      <c r="A705" s="96"/>
      <c r="B705" s="97"/>
      <c r="C705" s="115"/>
      <c r="D705" s="115"/>
      <c r="E705" s="115"/>
      <c r="F705" s="105"/>
      <c r="G705" s="96"/>
      <c r="H705" s="97"/>
      <c r="I705" s="96"/>
      <c r="J705" s="96"/>
      <c r="K705" s="107"/>
      <c r="L705" s="107"/>
      <c r="M705" s="102"/>
    </row>
    <row r="706" spans="1:13">
      <c r="A706" s="96"/>
      <c r="B706" s="97"/>
      <c r="C706" s="115"/>
      <c r="D706" s="115"/>
      <c r="E706" s="115"/>
      <c r="F706" s="105"/>
      <c r="G706" s="96"/>
      <c r="H706" s="97"/>
      <c r="I706" s="96"/>
      <c r="J706" s="96"/>
      <c r="K706" s="107"/>
      <c r="L706" s="107"/>
      <c r="M706" s="102"/>
    </row>
    <row r="707" spans="1:13">
      <c r="A707" s="96"/>
      <c r="B707" s="97"/>
      <c r="C707" s="115"/>
      <c r="D707" s="115"/>
      <c r="E707" s="115"/>
      <c r="F707" s="105"/>
      <c r="G707" s="96"/>
      <c r="H707" s="97"/>
      <c r="I707" s="96"/>
      <c r="J707" s="96"/>
      <c r="K707" s="107"/>
      <c r="L707" s="107"/>
      <c r="M707" s="102"/>
    </row>
    <row r="708" spans="1:13">
      <c r="A708" s="96"/>
      <c r="B708" s="97"/>
      <c r="C708" s="115"/>
      <c r="D708" s="115"/>
      <c r="E708" s="115"/>
      <c r="F708" s="105"/>
      <c r="G708" s="96"/>
      <c r="H708" s="97"/>
      <c r="I708" s="96"/>
      <c r="J708" s="96"/>
      <c r="K708" s="107"/>
      <c r="L708" s="107"/>
      <c r="M708" s="102"/>
    </row>
    <row r="709" spans="1:13">
      <c r="A709" s="96"/>
      <c r="B709" s="97"/>
      <c r="C709" s="115"/>
      <c r="D709" s="115"/>
      <c r="E709" s="115"/>
      <c r="F709" s="105"/>
      <c r="G709" s="96"/>
      <c r="H709" s="97"/>
      <c r="I709" s="96"/>
      <c r="J709" s="96"/>
      <c r="K709" s="107"/>
      <c r="L709" s="107"/>
      <c r="M709" s="102"/>
    </row>
    <row r="710" spans="1:13">
      <c r="A710" s="96"/>
      <c r="B710" s="97"/>
      <c r="C710" s="115"/>
      <c r="D710" s="115"/>
      <c r="E710" s="115"/>
      <c r="F710" s="105"/>
      <c r="G710" s="96"/>
      <c r="H710" s="97"/>
      <c r="I710" s="96"/>
      <c r="J710" s="96"/>
      <c r="K710" s="107"/>
      <c r="L710" s="107"/>
      <c r="M710" s="102"/>
    </row>
    <row r="711" spans="1:13">
      <c r="A711" s="96"/>
      <c r="B711" s="97"/>
      <c r="C711" s="115"/>
      <c r="D711" s="115"/>
      <c r="E711" s="115"/>
      <c r="F711" s="105"/>
      <c r="G711" s="96"/>
      <c r="H711" s="97"/>
      <c r="I711" s="96"/>
      <c r="J711" s="96"/>
      <c r="K711" s="107"/>
      <c r="L711" s="107"/>
      <c r="M711" s="102"/>
    </row>
    <row r="712" spans="1:13">
      <c r="A712" s="96"/>
      <c r="B712" s="97"/>
      <c r="C712" s="115"/>
      <c r="D712" s="115"/>
      <c r="E712" s="115"/>
      <c r="F712" s="105"/>
      <c r="G712" s="96"/>
      <c r="H712" s="97"/>
      <c r="I712" s="96"/>
      <c r="J712" s="96"/>
      <c r="K712" s="107"/>
      <c r="L712" s="107"/>
      <c r="M712" s="102"/>
    </row>
    <row r="713" spans="1:13">
      <c r="A713" s="96"/>
      <c r="B713" s="97"/>
      <c r="C713" s="115"/>
      <c r="D713" s="115"/>
      <c r="E713" s="115"/>
      <c r="F713" s="105"/>
      <c r="G713" s="96"/>
      <c r="H713" s="97"/>
      <c r="I713" s="96"/>
      <c r="J713" s="96"/>
      <c r="K713" s="107"/>
      <c r="L713" s="107"/>
      <c r="M713" s="102"/>
    </row>
    <row r="714" spans="1:13">
      <c r="A714" s="96"/>
      <c r="B714" s="97"/>
      <c r="C714" s="115"/>
      <c r="D714" s="115"/>
      <c r="E714" s="115"/>
      <c r="F714" s="105"/>
      <c r="G714" s="96"/>
      <c r="H714" s="97"/>
      <c r="I714" s="96"/>
      <c r="J714" s="96"/>
      <c r="K714" s="107"/>
      <c r="L714" s="107"/>
      <c r="M714" s="102"/>
    </row>
    <row r="715" spans="1:13">
      <c r="A715" s="96"/>
      <c r="B715" s="97"/>
      <c r="C715" s="115"/>
      <c r="D715" s="115"/>
      <c r="E715" s="115"/>
      <c r="F715" s="105"/>
      <c r="G715" s="96"/>
      <c r="H715" s="97"/>
      <c r="I715" s="96"/>
      <c r="J715" s="96"/>
      <c r="K715" s="107"/>
      <c r="L715" s="107"/>
      <c r="M715" s="102"/>
    </row>
    <row r="716" spans="1:13">
      <c r="A716" s="96"/>
      <c r="B716" s="97"/>
      <c r="C716" s="115"/>
      <c r="D716" s="115"/>
      <c r="E716" s="115"/>
      <c r="F716" s="105"/>
      <c r="G716" s="96"/>
      <c r="H716" s="97"/>
      <c r="I716" s="96"/>
      <c r="J716" s="96"/>
      <c r="K716" s="107"/>
      <c r="L716" s="107"/>
      <c r="M716" s="102"/>
    </row>
    <row r="717" spans="1:13">
      <c r="A717" s="96"/>
      <c r="B717" s="97"/>
      <c r="C717" s="115"/>
      <c r="D717" s="115"/>
      <c r="E717" s="115"/>
      <c r="F717" s="105"/>
      <c r="G717" s="96"/>
      <c r="H717" s="97"/>
      <c r="I717" s="96"/>
      <c r="J717" s="96"/>
      <c r="K717" s="107"/>
      <c r="L717" s="107"/>
      <c r="M717" s="102"/>
    </row>
    <row r="718" spans="1:13">
      <c r="A718" s="96"/>
      <c r="B718" s="97"/>
      <c r="C718" s="115"/>
      <c r="D718" s="115"/>
      <c r="E718" s="115"/>
      <c r="F718" s="105"/>
      <c r="G718" s="96"/>
      <c r="H718" s="97"/>
      <c r="I718" s="96"/>
      <c r="J718" s="96"/>
      <c r="K718" s="107"/>
      <c r="L718" s="107"/>
      <c r="M718" s="102"/>
    </row>
    <row r="719" spans="1:13">
      <c r="A719" s="96"/>
      <c r="B719" s="97"/>
      <c r="C719" s="115"/>
      <c r="D719" s="115"/>
      <c r="E719" s="115"/>
      <c r="F719" s="105"/>
      <c r="G719" s="96"/>
      <c r="H719" s="97"/>
      <c r="I719" s="96"/>
      <c r="J719" s="96"/>
      <c r="K719" s="107"/>
      <c r="L719" s="107"/>
      <c r="M719" s="102"/>
    </row>
    <row r="720" spans="1:13">
      <c r="A720" s="96"/>
      <c r="B720" s="97"/>
      <c r="C720" s="115"/>
      <c r="D720" s="115"/>
      <c r="E720" s="115"/>
      <c r="F720" s="105"/>
      <c r="G720" s="96"/>
      <c r="H720" s="97"/>
      <c r="I720" s="96"/>
      <c r="J720" s="96"/>
      <c r="K720" s="107"/>
      <c r="L720" s="107"/>
      <c r="M720" s="102"/>
    </row>
    <row r="721" spans="1:13">
      <c r="A721" s="96"/>
      <c r="B721" s="97"/>
      <c r="C721" s="115"/>
      <c r="D721" s="115"/>
      <c r="E721" s="115"/>
      <c r="F721" s="105"/>
      <c r="G721" s="96"/>
      <c r="H721" s="97"/>
      <c r="I721" s="96"/>
      <c r="J721" s="96"/>
      <c r="K721" s="107"/>
      <c r="L721" s="107"/>
      <c r="M721" s="102"/>
    </row>
    <row r="722" spans="1:13">
      <c r="A722" s="96"/>
      <c r="B722" s="97"/>
      <c r="C722" s="115"/>
      <c r="D722" s="115"/>
      <c r="E722" s="115"/>
      <c r="F722" s="105"/>
      <c r="G722" s="96"/>
      <c r="H722" s="97"/>
      <c r="I722" s="96"/>
      <c r="J722" s="96"/>
      <c r="K722" s="107"/>
      <c r="L722" s="107"/>
      <c r="M722" s="102"/>
    </row>
    <row r="723" spans="1:13">
      <c r="A723" s="96"/>
      <c r="B723" s="97"/>
      <c r="C723" s="115"/>
      <c r="D723" s="115"/>
      <c r="E723" s="115"/>
      <c r="F723" s="105"/>
      <c r="G723" s="96"/>
      <c r="H723" s="97"/>
      <c r="I723" s="96"/>
      <c r="J723" s="96"/>
      <c r="K723" s="107"/>
      <c r="L723" s="107"/>
      <c r="M723" s="102"/>
    </row>
    <row r="724" spans="1:13">
      <c r="A724" s="96"/>
      <c r="B724" s="97"/>
      <c r="C724" s="115"/>
      <c r="D724" s="115"/>
      <c r="E724" s="115"/>
      <c r="F724" s="105"/>
      <c r="G724" s="96"/>
      <c r="H724" s="97"/>
      <c r="I724" s="96"/>
      <c r="J724" s="96"/>
      <c r="K724" s="107"/>
      <c r="L724" s="107"/>
      <c r="M724" s="102"/>
    </row>
    <row r="725" spans="1:13">
      <c r="A725" s="96"/>
      <c r="B725" s="97"/>
      <c r="C725" s="115"/>
      <c r="D725" s="115"/>
      <c r="E725" s="115"/>
      <c r="F725" s="105"/>
      <c r="G725" s="96"/>
      <c r="H725" s="97"/>
      <c r="I725" s="96"/>
      <c r="J725" s="96"/>
      <c r="K725" s="107"/>
      <c r="L725" s="107"/>
      <c r="M725" s="102"/>
    </row>
    <row r="726" spans="1:13">
      <c r="A726" s="96"/>
      <c r="B726" s="97"/>
      <c r="C726" s="115"/>
      <c r="D726" s="115"/>
      <c r="E726" s="115"/>
      <c r="F726" s="105"/>
      <c r="G726" s="96"/>
      <c r="H726" s="97"/>
      <c r="I726" s="96"/>
      <c r="J726" s="96"/>
      <c r="K726" s="107"/>
      <c r="L726" s="107"/>
      <c r="M726" s="102"/>
    </row>
    <row r="727" spans="1:13">
      <c r="A727" s="96"/>
      <c r="B727" s="97"/>
      <c r="C727" s="115"/>
      <c r="D727" s="115"/>
      <c r="E727" s="115"/>
      <c r="F727" s="105"/>
      <c r="G727" s="96"/>
      <c r="H727" s="97"/>
      <c r="I727" s="96"/>
      <c r="J727" s="96"/>
      <c r="K727" s="107"/>
      <c r="L727" s="107"/>
      <c r="M727" s="102"/>
    </row>
    <row r="728" spans="1:13">
      <c r="A728" s="96"/>
      <c r="B728" s="97"/>
      <c r="C728" s="115"/>
      <c r="D728" s="115"/>
      <c r="E728" s="115"/>
      <c r="F728" s="105"/>
      <c r="G728" s="96"/>
      <c r="H728" s="97"/>
      <c r="I728" s="96"/>
      <c r="J728" s="96"/>
      <c r="K728" s="107"/>
      <c r="L728" s="107"/>
      <c r="M728" s="102"/>
    </row>
    <row r="729" spans="1:13">
      <c r="A729" s="96"/>
      <c r="B729" s="97"/>
      <c r="C729" s="115"/>
      <c r="D729" s="115"/>
      <c r="E729" s="115"/>
      <c r="F729" s="105"/>
      <c r="G729" s="96"/>
      <c r="H729" s="97"/>
      <c r="I729" s="96"/>
      <c r="J729" s="96"/>
      <c r="K729" s="107"/>
      <c r="L729" s="107"/>
      <c r="M729" s="102"/>
    </row>
    <row r="730" spans="1:13">
      <c r="A730" s="96"/>
      <c r="B730" s="97"/>
      <c r="C730" s="115"/>
      <c r="D730" s="115"/>
      <c r="E730" s="115"/>
      <c r="F730" s="105"/>
      <c r="G730" s="96"/>
      <c r="H730" s="97"/>
      <c r="I730" s="96"/>
      <c r="J730" s="96"/>
      <c r="K730" s="107"/>
      <c r="L730" s="107"/>
      <c r="M730" s="102"/>
    </row>
    <row r="731" spans="1:13">
      <c r="A731" s="96"/>
      <c r="B731" s="97"/>
      <c r="C731" s="115"/>
      <c r="D731" s="115"/>
      <c r="E731" s="115"/>
      <c r="F731" s="105"/>
      <c r="G731" s="96"/>
      <c r="H731" s="97"/>
      <c r="I731" s="96"/>
      <c r="J731" s="96"/>
      <c r="K731" s="107"/>
      <c r="L731" s="107"/>
      <c r="M731" s="102"/>
    </row>
    <row r="732" spans="1:13">
      <c r="A732" s="96"/>
      <c r="B732" s="97"/>
      <c r="C732" s="115"/>
      <c r="D732" s="115"/>
      <c r="E732" s="115"/>
      <c r="F732" s="105"/>
      <c r="G732" s="96"/>
      <c r="H732" s="97"/>
      <c r="I732" s="96"/>
      <c r="J732" s="96"/>
      <c r="K732" s="107"/>
      <c r="L732" s="107"/>
      <c r="M732" s="102"/>
    </row>
    <row r="733" spans="1:13">
      <c r="A733" s="96"/>
      <c r="B733" s="97"/>
      <c r="C733" s="115"/>
      <c r="D733" s="115"/>
      <c r="E733" s="115"/>
      <c r="F733" s="105"/>
      <c r="G733" s="96"/>
      <c r="H733" s="97"/>
      <c r="I733" s="96"/>
      <c r="J733" s="96"/>
      <c r="K733" s="107"/>
      <c r="L733" s="107"/>
      <c r="M733" s="102"/>
    </row>
    <row r="734" spans="1:13">
      <c r="A734" s="96"/>
      <c r="B734" s="97"/>
      <c r="C734" s="115"/>
      <c r="D734" s="115"/>
      <c r="E734" s="115"/>
      <c r="F734" s="105"/>
      <c r="G734" s="96"/>
      <c r="H734" s="97"/>
      <c r="I734" s="96"/>
      <c r="J734" s="96"/>
      <c r="K734" s="107"/>
      <c r="L734" s="107"/>
      <c r="M734" s="102"/>
    </row>
    <row r="735" spans="1:13">
      <c r="A735" s="96"/>
      <c r="B735" s="97"/>
      <c r="C735" s="115"/>
      <c r="D735" s="115"/>
      <c r="E735" s="115"/>
      <c r="F735" s="105"/>
      <c r="G735" s="96"/>
      <c r="H735" s="97"/>
      <c r="I735" s="96"/>
      <c r="J735" s="96"/>
      <c r="K735" s="107"/>
      <c r="L735" s="107"/>
      <c r="M735" s="102"/>
    </row>
    <row r="736" spans="1:13">
      <c r="A736" s="96"/>
      <c r="B736" s="97"/>
      <c r="C736" s="115"/>
      <c r="D736" s="115"/>
      <c r="E736" s="115"/>
      <c r="F736" s="105"/>
      <c r="G736" s="96"/>
      <c r="H736" s="97"/>
      <c r="I736" s="96"/>
      <c r="J736" s="96"/>
      <c r="K736" s="107"/>
      <c r="L736" s="107"/>
      <c r="M736" s="102"/>
    </row>
    <row r="737" spans="1:13">
      <c r="A737" s="96"/>
      <c r="B737" s="97"/>
      <c r="C737" s="115"/>
      <c r="D737" s="115"/>
      <c r="E737" s="115"/>
      <c r="F737" s="105"/>
      <c r="G737" s="96"/>
      <c r="H737" s="97"/>
      <c r="I737" s="96"/>
      <c r="J737" s="96"/>
      <c r="K737" s="107"/>
      <c r="L737" s="107"/>
      <c r="M737" s="102"/>
    </row>
    <row r="738" spans="1:13">
      <c r="A738" s="96"/>
      <c r="B738" s="97"/>
      <c r="C738" s="115"/>
      <c r="D738" s="115"/>
      <c r="E738" s="115"/>
      <c r="F738" s="105"/>
      <c r="G738" s="96"/>
      <c r="H738" s="97"/>
      <c r="I738" s="96"/>
      <c r="J738" s="96"/>
      <c r="K738" s="107"/>
      <c r="L738" s="107"/>
      <c r="M738" s="102"/>
    </row>
    <row r="739" spans="1:13">
      <c r="A739" s="96"/>
      <c r="B739" s="97"/>
      <c r="C739" s="115"/>
      <c r="D739" s="115"/>
      <c r="E739" s="115"/>
      <c r="F739" s="105"/>
      <c r="G739" s="96"/>
      <c r="H739" s="97"/>
      <c r="I739" s="96"/>
      <c r="J739" s="96"/>
      <c r="K739" s="107"/>
      <c r="L739" s="107"/>
      <c r="M739" s="102"/>
    </row>
    <row r="740" spans="1:13">
      <c r="A740" s="96"/>
      <c r="B740" s="97"/>
      <c r="C740" s="115"/>
      <c r="D740" s="115"/>
      <c r="E740" s="115"/>
      <c r="F740" s="105"/>
      <c r="G740" s="96"/>
      <c r="H740" s="97"/>
      <c r="I740" s="96"/>
      <c r="J740" s="96"/>
      <c r="K740" s="107"/>
      <c r="L740" s="107"/>
      <c r="M740" s="102"/>
    </row>
    <row r="741" spans="1:13">
      <c r="A741" s="96"/>
      <c r="B741" s="97"/>
      <c r="C741" s="115"/>
      <c r="D741" s="115"/>
      <c r="E741" s="115"/>
      <c r="F741" s="105"/>
      <c r="G741" s="96"/>
      <c r="H741" s="97"/>
      <c r="I741" s="96"/>
      <c r="J741" s="96"/>
      <c r="K741" s="107"/>
      <c r="L741" s="107"/>
      <c r="M741" s="102"/>
    </row>
    <row r="742" spans="1:13">
      <c r="A742" s="96"/>
      <c r="B742" s="97"/>
      <c r="C742" s="115"/>
      <c r="D742" s="115"/>
      <c r="E742" s="115"/>
      <c r="F742" s="105"/>
      <c r="G742" s="96"/>
      <c r="H742" s="97"/>
      <c r="I742" s="96"/>
      <c r="J742" s="96"/>
      <c r="K742" s="107"/>
      <c r="L742" s="107"/>
      <c r="M742" s="102"/>
    </row>
    <row r="743" spans="1:13">
      <c r="A743" s="96"/>
      <c r="B743" s="97"/>
      <c r="C743" s="115"/>
      <c r="D743" s="115"/>
      <c r="E743" s="115"/>
      <c r="F743" s="105"/>
      <c r="G743" s="96"/>
      <c r="H743" s="97"/>
      <c r="I743" s="96"/>
      <c r="J743" s="96"/>
      <c r="K743" s="107"/>
      <c r="L743" s="107"/>
      <c r="M743" s="102"/>
    </row>
    <row r="744" spans="1:13">
      <c r="A744" s="96"/>
      <c r="B744" s="97"/>
      <c r="C744" s="115"/>
      <c r="D744" s="115"/>
      <c r="E744" s="115"/>
      <c r="F744" s="105"/>
      <c r="G744" s="96"/>
      <c r="H744" s="97"/>
      <c r="I744" s="96"/>
      <c r="J744" s="96"/>
      <c r="K744" s="107"/>
      <c r="L744" s="107"/>
      <c r="M744" s="102"/>
    </row>
    <row r="745" spans="1:13">
      <c r="A745" s="96"/>
      <c r="B745" s="97"/>
      <c r="C745" s="115"/>
      <c r="D745" s="115"/>
      <c r="E745" s="115"/>
      <c r="F745" s="105"/>
      <c r="G745" s="96"/>
      <c r="H745" s="97"/>
      <c r="I745" s="96"/>
      <c r="J745" s="96"/>
      <c r="K745" s="107"/>
      <c r="L745" s="107"/>
      <c r="M745" s="102"/>
    </row>
    <row r="746" spans="1:13">
      <c r="A746" s="96"/>
      <c r="B746" s="97"/>
      <c r="C746" s="115"/>
      <c r="D746" s="115"/>
      <c r="E746" s="115"/>
      <c r="F746" s="105"/>
      <c r="G746" s="96"/>
      <c r="H746" s="97"/>
      <c r="I746" s="96"/>
      <c r="J746" s="96"/>
      <c r="K746" s="107"/>
      <c r="L746" s="107"/>
      <c r="M746" s="102"/>
    </row>
    <row r="747" spans="1:13">
      <c r="A747" s="96"/>
      <c r="B747" s="97"/>
      <c r="C747" s="115"/>
      <c r="D747" s="115"/>
      <c r="E747" s="115"/>
      <c r="F747" s="105"/>
      <c r="G747" s="96"/>
      <c r="H747" s="97"/>
      <c r="I747" s="96"/>
      <c r="J747" s="96"/>
      <c r="K747" s="107"/>
      <c r="L747" s="107"/>
      <c r="M747" s="102"/>
    </row>
    <row r="748" spans="1:13">
      <c r="A748" s="96"/>
      <c r="B748" s="97"/>
      <c r="C748" s="115"/>
      <c r="D748" s="115"/>
      <c r="E748" s="115"/>
      <c r="F748" s="105"/>
      <c r="G748" s="96"/>
      <c r="H748" s="97"/>
      <c r="I748" s="96"/>
      <c r="J748" s="96"/>
      <c r="K748" s="107"/>
      <c r="L748" s="107"/>
      <c r="M748" s="102"/>
    </row>
    <row r="749" spans="1:13">
      <c r="A749" s="96"/>
      <c r="B749" s="97"/>
      <c r="C749" s="115"/>
      <c r="D749" s="115"/>
      <c r="E749" s="115"/>
      <c r="F749" s="105"/>
      <c r="G749" s="96"/>
      <c r="H749" s="97"/>
      <c r="I749" s="96"/>
      <c r="J749" s="96"/>
      <c r="K749" s="107"/>
      <c r="L749" s="107"/>
      <c r="M749" s="102"/>
    </row>
    <row r="750" spans="1:13">
      <c r="A750" s="96"/>
      <c r="B750" s="97"/>
      <c r="C750" s="115"/>
      <c r="D750" s="115"/>
      <c r="E750" s="115"/>
      <c r="F750" s="105"/>
      <c r="G750" s="96"/>
      <c r="H750" s="97"/>
      <c r="I750" s="96"/>
      <c r="J750" s="96"/>
      <c r="K750" s="107"/>
      <c r="L750" s="107"/>
      <c r="M750" s="102"/>
    </row>
    <row r="751" spans="1:13">
      <c r="A751" s="96"/>
      <c r="B751" s="97"/>
      <c r="C751" s="115"/>
      <c r="D751" s="115"/>
      <c r="E751" s="115"/>
      <c r="F751" s="105"/>
      <c r="G751" s="96"/>
      <c r="H751" s="97"/>
      <c r="I751" s="96"/>
      <c r="J751" s="96"/>
      <c r="K751" s="107"/>
      <c r="L751" s="107"/>
      <c r="M751" s="102"/>
    </row>
    <row r="752" spans="1:13">
      <c r="A752" s="96"/>
      <c r="B752" s="97"/>
      <c r="C752" s="115"/>
      <c r="D752" s="115"/>
      <c r="E752" s="115"/>
      <c r="F752" s="105"/>
      <c r="G752" s="96"/>
      <c r="H752" s="97"/>
      <c r="I752" s="96"/>
      <c r="J752" s="96"/>
      <c r="K752" s="107"/>
      <c r="L752" s="107"/>
      <c r="M752" s="102"/>
    </row>
    <row r="753" spans="1:13">
      <c r="A753" s="96"/>
      <c r="B753" s="97"/>
      <c r="C753" s="115"/>
      <c r="D753" s="115"/>
      <c r="E753" s="115"/>
      <c r="F753" s="105"/>
      <c r="G753" s="96"/>
      <c r="H753" s="97"/>
      <c r="I753" s="96"/>
      <c r="J753" s="96"/>
      <c r="K753" s="107"/>
      <c r="L753" s="107"/>
      <c r="M753" s="102"/>
    </row>
    <row r="754" spans="1:13">
      <c r="A754" s="96"/>
      <c r="B754" s="97"/>
      <c r="C754" s="115"/>
      <c r="D754" s="115"/>
      <c r="E754" s="115"/>
      <c r="F754" s="105"/>
      <c r="G754" s="96"/>
      <c r="H754" s="97"/>
      <c r="I754" s="96"/>
      <c r="J754" s="96"/>
      <c r="K754" s="107"/>
      <c r="L754" s="107"/>
      <c r="M754" s="102"/>
    </row>
    <row r="755" spans="1:13">
      <c r="A755" s="96"/>
      <c r="B755" s="97"/>
      <c r="C755" s="115"/>
      <c r="D755" s="115"/>
      <c r="E755" s="115"/>
      <c r="F755" s="105"/>
      <c r="G755" s="96"/>
      <c r="H755" s="97"/>
      <c r="I755" s="96"/>
      <c r="J755" s="96"/>
      <c r="K755" s="107"/>
      <c r="L755" s="107"/>
      <c r="M755" s="102"/>
    </row>
    <row r="756" spans="1:13">
      <c r="A756" s="96"/>
      <c r="B756" s="97"/>
      <c r="C756" s="115"/>
      <c r="D756" s="115"/>
      <c r="E756" s="115"/>
      <c r="F756" s="105"/>
      <c r="G756" s="96"/>
      <c r="H756" s="97"/>
      <c r="I756" s="96"/>
      <c r="J756" s="96"/>
      <c r="K756" s="107"/>
      <c r="L756" s="107"/>
      <c r="M756" s="102"/>
    </row>
    <row r="757" spans="1:13">
      <c r="A757" s="96"/>
      <c r="B757" s="97"/>
      <c r="C757" s="115"/>
      <c r="D757" s="115"/>
      <c r="E757" s="115"/>
      <c r="F757" s="105"/>
      <c r="G757" s="96"/>
      <c r="H757" s="97"/>
      <c r="I757" s="96"/>
      <c r="J757" s="96"/>
      <c r="K757" s="107"/>
      <c r="L757" s="107"/>
      <c r="M757" s="102"/>
    </row>
    <row r="758" spans="1:13">
      <c r="A758" s="96"/>
      <c r="B758" s="97"/>
      <c r="C758" s="115"/>
      <c r="D758" s="115"/>
      <c r="E758" s="115"/>
      <c r="F758" s="105"/>
      <c r="G758" s="96"/>
      <c r="H758" s="97"/>
      <c r="I758" s="96"/>
      <c r="J758" s="96"/>
      <c r="K758" s="107"/>
      <c r="L758" s="107"/>
      <c r="M758" s="102"/>
    </row>
    <row r="759" spans="1:13">
      <c r="A759" s="96"/>
      <c r="B759" s="97"/>
      <c r="C759" s="115"/>
      <c r="D759" s="115"/>
      <c r="E759" s="115"/>
      <c r="F759" s="105"/>
      <c r="G759" s="96"/>
      <c r="H759" s="97"/>
      <c r="I759" s="96"/>
      <c r="J759" s="96"/>
      <c r="K759" s="107"/>
      <c r="L759" s="107"/>
      <c r="M759" s="102"/>
    </row>
    <row r="760" spans="1:13">
      <c r="A760" s="96"/>
      <c r="B760" s="97"/>
      <c r="C760" s="115"/>
      <c r="D760" s="115"/>
      <c r="E760" s="115"/>
      <c r="F760" s="105"/>
      <c r="G760" s="96"/>
      <c r="H760" s="97"/>
      <c r="I760" s="96"/>
      <c r="J760" s="96"/>
      <c r="K760" s="107"/>
      <c r="L760" s="107"/>
      <c r="M760" s="102"/>
    </row>
    <row r="761" spans="1:13">
      <c r="A761" s="96"/>
      <c r="B761" s="97"/>
      <c r="C761" s="115"/>
      <c r="D761" s="115"/>
      <c r="E761" s="115"/>
      <c r="F761" s="105"/>
      <c r="G761" s="96"/>
      <c r="H761" s="97"/>
      <c r="I761" s="96"/>
      <c r="J761" s="96"/>
      <c r="K761" s="107"/>
      <c r="L761" s="107"/>
      <c r="M761" s="102"/>
    </row>
    <row r="762" spans="1:13">
      <c r="A762" s="96"/>
      <c r="B762" s="97"/>
      <c r="C762" s="115"/>
      <c r="D762" s="115"/>
      <c r="E762" s="115"/>
      <c r="F762" s="105"/>
      <c r="G762" s="96"/>
      <c r="H762" s="97"/>
      <c r="I762" s="96"/>
      <c r="J762" s="96"/>
      <c r="K762" s="107"/>
      <c r="L762" s="107"/>
      <c r="M762" s="102"/>
    </row>
    <row r="763" spans="1:13">
      <c r="A763" s="96"/>
      <c r="B763" s="97"/>
      <c r="C763" s="115"/>
      <c r="D763" s="115"/>
      <c r="E763" s="115"/>
      <c r="F763" s="105"/>
      <c r="G763" s="96"/>
      <c r="H763" s="97"/>
      <c r="I763" s="96"/>
      <c r="J763" s="96"/>
      <c r="K763" s="107"/>
      <c r="L763" s="107"/>
      <c r="M763" s="102"/>
    </row>
    <row r="764" spans="1:13">
      <c r="A764" s="96"/>
      <c r="B764" s="97"/>
      <c r="C764" s="115"/>
      <c r="D764" s="115"/>
      <c r="E764" s="115"/>
      <c r="F764" s="105"/>
      <c r="G764" s="96"/>
      <c r="H764" s="97"/>
      <c r="I764" s="96"/>
      <c r="J764" s="96"/>
      <c r="K764" s="107"/>
      <c r="L764" s="107"/>
      <c r="M764" s="102"/>
    </row>
    <row r="765" spans="1:13">
      <c r="A765" s="96"/>
      <c r="B765" s="97"/>
      <c r="C765" s="115"/>
      <c r="D765" s="115"/>
      <c r="E765" s="115"/>
      <c r="F765" s="105"/>
      <c r="G765" s="96"/>
      <c r="H765" s="97"/>
      <c r="I765" s="96"/>
      <c r="J765" s="96"/>
      <c r="K765" s="107"/>
      <c r="L765" s="107"/>
      <c r="M765" s="102"/>
    </row>
    <row r="766" spans="1:13">
      <c r="A766" s="96"/>
      <c r="B766" s="97"/>
      <c r="C766" s="115"/>
      <c r="D766" s="115"/>
      <c r="E766" s="115"/>
      <c r="F766" s="105"/>
      <c r="G766" s="96"/>
      <c r="H766" s="97"/>
      <c r="I766" s="96"/>
      <c r="J766" s="96"/>
      <c r="K766" s="107"/>
      <c r="L766" s="107"/>
      <c r="M766" s="102"/>
    </row>
    <row r="767" spans="1:13">
      <c r="A767" s="96"/>
      <c r="B767" s="97"/>
      <c r="C767" s="115"/>
      <c r="D767" s="115"/>
      <c r="E767" s="115"/>
      <c r="F767" s="105"/>
      <c r="G767" s="96"/>
      <c r="H767" s="97"/>
      <c r="I767" s="96"/>
      <c r="J767" s="96"/>
      <c r="K767" s="107"/>
      <c r="L767" s="107"/>
      <c r="M767" s="102"/>
    </row>
    <row r="768" spans="1:13">
      <c r="A768" s="96"/>
      <c r="B768" s="97"/>
      <c r="C768" s="115"/>
      <c r="D768" s="115"/>
      <c r="E768" s="115"/>
      <c r="F768" s="105"/>
      <c r="G768" s="96"/>
      <c r="H768" s="97"/>
      <c r="I768" s="96"/>
      <c r="J768" s="96"/>
      <c r="K768" s="107"/>
      <c r="L768" s="107"/>
      <c r="M768" s="102"/>
    </row>
    <row r="769" spans="1:13">
      <c r="A769" s="96"/>
      <c r="B769" s="97"/>
      <c r="C769" s="115"/>
      <c r="D769" s="115"/>
      <c r="E769" s="115"/>
      <c r="F769" s="105"/>
      <c r="G769" s="96"/>
      <c r="H769" s="97"/>
      <c r="I769" s="96"/>
      <c r="J769" s="96"/>
      <c r="K769" s="107"/>
      <c r="L769" s="107"/>
      <c r="M769" s="102"/>
    </row>
    <row r="770" spans="1:13">
      <c r="A770" s="96"/>
      <c r="B770" s="97"/>
      <c r="C770" s="115"/>
      <c r="D770" s="115"/>
      <c r="E770" s="115"/>
      <c r="F770" s="105"/>
      <c r="G770" s="96"/>
      <c r="H770" s="97"/>
      <c r="I770" s="96"/>
      <c r="J770" s="96"/>
      <c r="K770" s="107"/>
      <c r="L770" s="107"/>
      <c r="M770" s="102"/>
    </row>
    <row r="771" spans="1:13">
      <c r="A771" s="96"/>
      <c r="B771" s="97"/>
      <c r="C771" s="115"/>
      <c r="D771" s="115"/>
      <c r="E771" s="115"/>
      <c r="F771" s="105"/>
      <c r="G771" s="96"/>
      <c r="H771" s="97"/>
      <c r="I771" s="96"/>
      <c r="J771" s="96"/>
      <c r="K771" s="107"/>
      <c r="L771" s="107"/>
      <c r="M771" s="102"/>
    </row>
    <row r="772" spans="1:13">
      <c r="A772" s="96"/>
      <c r="B772" s="97"/>
      <c r="C772" s="115"/>
      <c r="D772" s="115"/>
      <c r="E772" s="115"/>
      <c r="F772" s="105"/>
      <c r="G772" s="96"/>
      <c r="H772" s="97"/>
      <c r="I772" s="96"/>
      <c r="J772" s="96"/>
      <c r="K772" s="107"/>
      <c r="L772" s="107"/>
      <c r="M772" s="102"/>
    </row>
    <row r="773" spans="1:13">
      <c r="A773" s="96"/>
      <c r="B773" s="97"/>
      <c r="C773" s="115"/>
      <c r="D773" s="115"/>
      <c r="E773" s="115"/>
      <c r="F773" s="105"/>
      <c r="G773" s="96"/>
      <c r="H773" s="97"/>
      <c r="I773" s="96"/>
      <c r="J773" s="96"/>
      <c r="K773" s="107"/>
      <c r="L773" s="107"/>
      <c r="M773" s="102"/>
    </row>
    <row r="774" spans="1:13">
      <c r="A774" s="96"/>
      <c r="B774" s="97"/>
      <c r="C774" s="115"/>
      <c r="D774" s="115"/>
      <c r="E774" s="115"/>
      <c r="F774" s="105"/>
      <c r="G774" s="96"/>
      <c r="H774" s="97"/>
      <c r="I774" s="96"/>
      <c r="J774" s="96"/>
      <c r="K774" s="107"/>
      <c r="L774" s="107"/>
      <c r="M774" s="102"/>
    </row>
    <row r="775" spans="1:13">
      <c r="A775" s="96"/>
      <c r="B775" s="97"/>
      <c r="C775" s="115"/>
      <c r="D775" s="115"/>
      <c r="E775" s="115"/>
      <c r="F775" s="105"/>
      <c r="G775" s="96"/>
      <c r="H775" s="97"/>
      <c r="I775" s="96"/>
      <c r="J775" s="96"/>
      <c r="K775" s="107"/>
      <c r="L775" s="107"/>
      <c r="M775" s="102"/>
    </row>
    <row r="776" spans="1:13">
      <c r="A776" s="96"/>
      <c r="B776" s="97"/>
      <c r="C776" s="115"/>
      <c r="D776" s="115"/>
      <c r="E776" s="115"/>
      <c r="F776" s="105"/>
      <c r="G776" s="96"/>
      <c r="H776" s="97"/>
      <c r="I776" s="96"/>
      <c r="J776" s="96"/>
      <c r="K776" s="107"/>
      <c r="L776" s="107"/>
      <c r="M776" s="102"/>
    </row>
    <row r="777" spans="1:13">
      <c r="A777" s="96"/>
      <c r="B777" s="97"/>
      <c r="C777" s="115"/>
      <c r="D777" s="115"/>
      <c r="E777" s="115"/>
      <c r="F777" s="105"/>
      <c r="G777" s="96"/>
      <c r="H777" s="97"/>
      <c r="I777" s="96"/>
      <c r="J777" s="96"/>
      <c r="K777" s="107"/>
      <c r="L777" s="107"/>
      <c r="M777" s="102"/>
    </row>
    <row r="778" spans="1:13">
      <c r="A778" s="96"/>
      <c r="B778" s="97"/>
      <c r="C778" s="115"/>
      <c r="D778" s="115"/>
      <c r="E778" s="115"/>
      <c r="F778" s="105"/>
      <c r="G778" s="96"/>
      <c r="H778" s="97"/>
      <c r="I778" s="96"/>
      <c r="J778" s="96"/>
      <c r="K778" s="107"/>
      <c r="L778" s="107"/>
      <c r="M778" s="102"/>
    </row>
    <row r="779" spans="1:13">
      <c r="A779" s="96"/>
      <c r="B779" s="97"/>
      <c r="C779" s="115"/>
      <c r="D779" s="115"/>
      <c r="E779" s="115"/>
      <c r="F779" s="105"/>
      <c r="G779" s="96"/>
      <c r="H779" s="97"/>
      <c r="I779" s="96"/>
      <c r="J779" s="96"/>
      <c r="K779" s="107"/>
      <c r="L779" s="107"/>
      <c r="M779" s="102"/>
    </row>
    <row r="780" spans="1:13">
      <c r="A780" s="96"/>
      <c r="B780" s="97"/>
      <c r="C780" s="115"/>
      <c r="D780" s="115"/>
      <c r="E780" s="115"/>
      <c r="F780" s="105"/>
      <c r="G780" s="96"/>
      <c r="H780" s="97"/>
      <c r="I780" s="96"/>
      <c r="J780" s="96"/>
      <c r="K780" s="107"/>
      <c r="L780" s="107"/>
      <c r="M780" s="102"/>
    </row>
    <row r="781" spans="1:13">
      <c r="A781" s="96"/>
      <c r="B781" s="97"/>
      <c r="C781" s="115"/>
      <c r="D781" s="115"/>
      <c r="E781" s="115"/>
      <c r="F781" s="105"/>
      <c r="G781" s="96"/>
      <c r="H781" s="97"/>
      <c r="I781" s="96"/>
      <c r="J781" s="96"/>
      <c r="K781" s="107"/>
      <c r="L781" s="107"/>
      <c r="M781" s="102"/>
    </row>
    <row r="782" spans="1:13">
      <c r="A782" s="96"/>
      <c r="B782" s="97"/>
      <c r="C782" s="115"/>
      <c r="D782" s="115"/>
      <c r="E782" s="115"/>
      <c r="F782" s="105"/>
      <c r="G782" s="96"/>
      <c r="H782" s="97"/>
      <c r="I782" s="96"/>
      <c r="J782" s="96"/>
      <c r="K782" s="107"/>
      <c r="L782" s="107"/>
      <c r="M782" s="102"/>
    </row>
    <row r="783" spans="1:13">
      <c r="A783" s="96"/>
      <c r="B783" s="97"/>
      <c r="C783" s="115"/>
      <c r="D783" s="115"/>
      <c r="E783" s="115"/>
      <c r="F783" s="105"/>
      <c r="G783" s="96"/>
      <c r="H783" s="97"/>
      <c r="I783" s="96"/>
      <c r="J783" s="96"/>
      <c r="K783" s="107"/>
      <c r="L783" s="107"/>
      <c r="M783" s="102"/>
    </row>
    <row r="784" spans="1:13">
      <c r="A784" s="96"/>
      <c r="B784" s="97"/>
      <c r="C784" s="115"/>
      <c r="D784" s="115"/>
      <c r="E784" s="115"/>
      <c r="F784" s="105"/>
      <c r="G784" s="96"/>
      <c r="H784" s="97"/>
      <c r="I784" s="96"/>
      <c r="J784" s="96"/>
      <c r="K784" s="107"/>
      <c r="L784" s="107"/>
      <c r="M784" s="102"/>
    </row>
    <row r="785" spans="1:13">
      <c r="A785" s="96"/>
      <c r="B785" s="97"/>
      <c r="C785" s="115"/>
      <c r="D785" s="115"/>
      <c r="E785" s="115"/>
      <c r="F785" s="105"/>
      <c r="G785" s="96"/>
      <c r="H785" s="97"/>
      <c r="I785" s="96"/>
      <c r="J785" s="96"/>
      <c r="K785" s="107"/>
      <c r="L785" s="107"/>
      <c r="M785" s="102"/>
    </row>
    <row r="786" spans="1:13">
      <c r="A786" s="96"/>
      <c r="B786" s="97"/>
      <c r="C786" s="115"/>
      <c r="D786" s="115"/>
      <c r="E786" s="115"/>
      <c r="F786" s="105"/>
      <c r="G786" s="96"/>
      <c r="H786" s="97"/>
      <c r="I786" s="96"/>
      <c r="J786" s="96"/>
      <c r="K786" s="107"/>
      <c r="L786" s="107"/>
      <c r="M786" s="102"/>
    </row>
    <row r="787" spans="1:13">
      <c r="A787" s="96"/>
      <c r="B787" s="97"/>
      <c r="C787" s="115"/>
      <c r="D787" s="115"/>
      <c r="E787" s="115"/>
      <c r="F787" s="105"/>
      <c r="G787" s="96"/>
      <c r="H787" s="97"/>
      <c r="I787" s="96"/>
      <c r="J787" s="96"/>
      <c r="K787" s="107"/>
      <c r="L787" s="107"/>
      <c r="M787" s="102"/>
    </row>
    <row r="788" spans="1:13">
      <c r="A788" s="96"/>
      <c r="B788" s="97"/>
      <c r="C788" s="115"/>
      <c r="D788" s="115"/>
      <c r="E788" s="115"/>
      <c r="F788" s="105"/>
      <c r="G788" s="96"/>
      <c r="H788" s="97"/>
      <c r="I788" s="96"/>
      <c r="J788" s="96"/>
      <c r="K788" s="107"/>
      <c r="L788" s="107"/>
      <c r="M788" s="102"/>
    </row>
    <row r="789" spans="1:13">
      <c r="A789" s="96"/>
      <c r="B789" s="97"/>
      <c r="C789" s="115"/>
      <c r="D789" s="115"/>
      <c r="E789" s="115"/>
      <c r="F789" s="105"/>
      <c r="G789" s="96"/>
      <c r="H789" s="97"/>
      <c r="I789" s="96"/>
      <c r="J789" s="96"/>
      <c r="K789" s="107"/>
      <c r="L789" s="107"/>
      <c r="M789" s="102"/>
    </row>
    <row r="790" spans="1:13">
      <c r="A790" s="96"/>
      <c r="B790" s="97"/>
      <c r="C790" s="115"/>
      <c r="D790" s="115"/>
      <c r="E790" s="115"/>
      <c r="F790" s="105"/>
      <c r="G790" s="96"/>
      <c r="H790" s="97"/>
      <c r="I790" s="96"/>
      <c r="J790" s="96"/>
      <c r="K790" s="107"/>
      <c r="L790" s="107"/>
      <c r="M790" s="102"/>
    </row>
    <row r="791" spans="1:13">
      <c r="A791" s="96"/>
      <c r="B791" s="97"/>
      <c r="C791" s="115"/>
      <c r="D791" s="115"/>
      <c r="E791" s="115"/>
      <c r="F791" s="105"/>
      <c r="G791" s="96"/>
      <c r="H791" s="97"/>
      <c r="I791" s="96"/>
      <c r="J791" s="96"/>
      <c r="K791" s="107"/>
      <c r="L791" s="107"/>
      <c r="M791" s="102"/>
    </row>
    <row r="792" spans="1:13">
      <c r="A792" s="96"/>
      <c r="B792" s="97"/>
      <c r="C792" s="115"/>
      <c r="D792" s="115"/>
      <c r="E792" s="115"/>
      <c r="F792" s="105"/>
      <c r="G792" s="96"/>
      <c r="H792" s="97"/>
      <c r="I792" s="96"/>
      <c r="J792" s="96"/>
      <c r="K792" s="107"/>
      <c r="L792" s="107"/>
      <c r="M792" s="102"/>
    </row>
    <row r="793" spans="1:13">
      <c r="A793" s="96"/>
      <c r="B793" s="97"/>
      <c r="C793" s="115"/>
      <c r="D793" s="115"/>
      <c r="E793" s="115"/>
      <c r="F793" s="105"/>
      <c r="G793" s="96"/>
      <c r="H793" s="97"/>
      <c r="I793" s="96"/>
      <c r="J793" s="96"/>
      <c r="K793" s="107"/>
      <c r="L793" s="107"/>
      <c r="M793" s="102"/>
    </row>
    <row r="794" spans="1:13">
      <c r="A794" s="96"/>
      <c r="B794" s="97"/>
      <c r="C794" s="115"/>
      <c r="D794" s="115"/>
      <c r="E794" s="115"/>
      <c r="F794" s="105"/>
      <c r="G794" s="96"/>
      <c r="H794" s="97"/>
      <c r="I794" s="96"/>
      <c r="J794" s="96"/>
      <c r="K794" s="107"/>
      <c r="L794" s="107"/>
      <c r="M794" s="102"/>
    </row>
    <row r="795" spans="1:13">
      <c r="A795" s="96"/>
      <c r="B795" s="97"/>
      <c r="C795" s="115"/>
      <c r="D795" s="115"/>
      <c r="E795" s="115"/>
      <c r="F795" s="105"/>
      <c r="G795" s="96"/>
      <c r="H795" s="97"/>
      <c r="I795" s="96"/>
      <c r="J795" s="96"/>
      <c r="K795" s="107"/>
      <c r="L795" s="107"/>
      <c r="M795" s="102"/>
    </row>
    <row r="796" spans="1:13">
      <c r="A796" s="96"/>
      <c r="B796" s="97"/>
      <c r="C796" s="115"/>
      <c r="D796" s="115"/>
      <c r="E796" s="115"/>
      <c r="F796" s="105"/>
      <c r="G796" s="96"/>
      <c r="H796" s="97"/>
      <c r="I796" s="96"/>
      <c r="J796" s="96"/>
      <c r="K796" s="107"/>
      <c r="L796" s="107"/>
      <c r="M796" s="102"/>
    </row>
    <row r="797" spans="1:13">
      <c r="A797" s="96"/>
      <c r="B797" s="97"/>
      <c r="C797" s="115"/>
      <c r="D797" s="115"/>
      <c r="E797" s="115"/>
      <c r="F797" s="105"/>
      <c r="G797" s="96"/>
      <c r="H797" s="97"/>
      <c r="I797" s="96"/>
      <c r="J797" s="96"/>
      <c r="K797" s="107"/>
      <c r="L797" s="107"/>
      <c r="M797" s="102"/>
    </row>
    <row r="798" spans="1:13">
      <c r="A798" s="96"/>
      <c r="B798" s="97"/>
      <c r="C798" s="115"/>
      <c r="D798" s="115"/>
      <c r="E798" s="115"/>
      <c r="F798" s="105"/>
      <c r="G798" s="96"/>
      <c r="H798" s="97"/>
      <c r="I798" s="96"/>
      <c r="J798" s="96"/>
      <c r="K798" s="107"/>
      <c r="L798" s="107"/>
      <c r="M798" s="102"/>
    </row>
    <row r="799" spans="1:13">
      <c r="A799" s="96"/>
      <c r="B799" s="97"/>
      <c r="C799" s="115"/>
      <c r="D799" s="115"/>
      <c r="E799" s="115"/>
      <c r="F799" s="105"/>
      <c r="G799" s="96"/>
      <c r="H799" s="97"/>
      <c r="I799" s="96"/>
      <c r="J799" s="96"/>
      <c r="K799" s="107"/>
      <c r="L799" s="107"/>
      <c r="M799" s="102"/>
    </row>
    <row r="800" spans="1:13">
      <c r="A800" s="96"/>
      <c r="B800" s="97"/>
      <c r="C800" s="115"/>
      <c r="D800" s="115"/>
      <c r="E800" s="115"/>
      <c r="F800" s="105"/>
      <c r="G800" s="96"/>
      <c r="H800" s="97"/>
      <c r="I800" s="96"/>
      <c r="J800" s="96"/>
      <c r="K800" s="107"/>
      <c r="L800" s="107"/>
      <c r="M800" s="102"/>
    </row>
    <row r="801" spans="1:13">
      <c r="A801" s="96"/>
      <c r="B801" s="97"/>
      <c r="C801" s="115"/>
      <c r="D801" s="115"/>
      <c r="E801" s="115"/>
      <c r="F801" s="105"/>
      <c r="G801" s="96"/>
      <c r="H801" s="97"/>
      <c r="I801" s="96"/>
      <c r="J801" s="96"/>
      <c r="K801" s="107"/>
      <c r="L801" s="107"/>
      <c r="M801" s="102"/>
    </row>
    <row r="802" spans="1:13">
      <c r="A802" s="96"/>
      <c r="B802" s="97"/>
      <c r="C802" s="115"/>
      <c r="D802" s="115"/>
      <c r="E802" s="115"/>
      <c r="F802" s="105"/>
      <c r="G802" s="96"/>
      <c r="H802" s="97"/>
      <c r="I802" s="96"/>
      <c r="J802" s="96"/>
      <c r="K802" s="107"/>
      <c r="L802" s="107"/>
      <c r="M802" s="102"/>
    </row>
    <row r="803" spans="1:13">
      <c r="A803" s="96"/>
      <c r="B803" s="97"/>
      <c r="C803" s="115"/>
      <c r="D803" s="115"/>
      <c r="E803" s="115"/>
      <c r="F803" s="105"/>
      <c r="G803" s="96"/>
      <c r="H803" s="97"/>
      <c r="I803" s="96"/>
      <c r="J803" s="96"/>
      <c r="K803" s="107"/>
      <c r="L803" s="107"/>
      <c r="M803" s="102"/>
    </row>
    <row r="804" spans="1:13">
      <c r="A804" s="96"/>
      <c r="B804" s="97"/>
      <c r="C804" s="115"/>
      <c r="D804" s="115"/>
      <c r="E804" s="115"/>
      <c r="F804" s="105"/>
      <c r="G804" s="96"/>
      <c r="H804" s="97"/>
      <c r="I804" s="96"/>
      <c r="J804" s="96"/>
      <c r="K804" s="107"/>
      <c r="L804" s="107"/>
      <c r="M804" s="102"/>
    </row>
    <row r="805" spans="1:13">
      <c r="A805" s="96"/>
      <c r="B805" s="97"/>
      <c r="C805" s="115"/>
      <c r="D805" s="115"/>
      <c r="E805" s="115"/>
      <c r="F805" s="105"/>
      <c r="G805" s="96"/>
      <c r="H805" s="97"/>
      <c r="I805" s="96"/>
      <c r="J805" s="96"/>
      <c r="K805" s="107"/>
      <c r="L805" s="107"/>
      <c r="M805" s="102"/>
    </row>
    <row r="806" spans="1:13">
      <c r="A806" s="96"/>
      <c r="B806" s="97"/>
      <c r="C806" s="115"/>
      <c r="D806" s="115"/>
      <c r="E806" s="115"/>
      <c r="F806" s="105"/>
      <c r="G806" s="96"/>
      <c r="H806" s="97"/>
      <c r="I806" s="96"/>
      <c r="J806" s="96"/>
      <c r="K806" s="107"/>
      <c r="L806" s="107"/>
      <c r="M806" s="102"/>
    </row>
    <row r="807" spans="1:13">
      <c r="A807" s="96"/>
      <c r="B807" s="97"/>
      <c r="C807" s="115"/>
      <c r="D807" s="115"/>
      <c r="E807" s="115"/>
      <c r="F807" s="105"/>
      <c r="G807" s="96"/>
      <c r="H807" s="97"/>
      <c r="I807" s="96"/>
      <c r="J807" s="96"/>
      <c r="K807" s="107"/>
      <c r="L807" s="107"/>
      <c r="M807" s="102"/>
    </row>
    <row r="808" spans="1:13">
      <c r="A808" s="96"/>
      <c r="B808" s="97"/>
      <c r="C808" s="115"/>
      <c r="D808" s="115"/>
      <c r="E808" s="115"/>
      <c r="F808" s="105"/>
      <c r="G808" s="96"/>
      <c r="H808" s="97"/>
      <c r="I808" s="96"/>
      <c r="J808" s="96"/>
      <c r="K808" s="107"/>
      <c r="L808" s="107"/>
      <c r="M808" s="102"/>
    </row>
    <row r="809" spans="1:13">
      <c r="A809" s="96"/>
      <c r="B809" s="97"/>
      <c r="C809" s="115"/>
      <c r="D809" s="115"/>
      <c r="E809" s="115"/>
      <c r="F809" s="105"/>
      <c r="G809" s="96"/>
      <c r="H809" s="97"/>
      <c r="I809" s="96"/>
      <c r="J809" s="96"/>
      <c r="K809" s="107"/>
      <c r="L809" s="107"/>
      <c r="M809" s="102"/>
    </row>
    <row r="810" spans="1:13">
      <c r="A810" s="96"/>
      <c r="B810" s="97"/>
      <c r="C810" s="115"/>
      <c r="D810" s="115"/>
      <c r="E810" s="115"/>
      <c r="F810" s="105"/>
      <c r="G810" s="96"/>
      <c r="H810" s="97"/>
      <c r="I810" s="96"/>
      <c r="J810" s="96"/>
      <c r="K810" s="107"/>
      <c r="L810" s="107"/>
      <c r="M810" s="102"/>
    </row>
    <row r="811" spans="1:13">
      <c r="A811" s="96"/>
      <c r="B811" s="97"/>
      <c r="C811" s="115"/>
      <c r="D811" s="115"/>
      <c r="E811" s="115"/>
      <c r="F811" s="105"/>
      <c r="G811" s="96"/>
      <c r="H811" s="97"/>
      <c r="I811" s="96"/>
      <c r="J811" s="96"/>
      <c r="K811" s="107"/>
      <c r="L811" s="107"/>
      <c r="M811" s="102"/>
    </row>
    <row r="812" spans="1:13">
      <c r="A812" s="96"/>
      <c r="B812" s="97"/>
      <c r="C812" s="115"/>
      <c r="D812" s="115"/>
      <c r="E812" s="115"/>
      <c r="F812" s="105"/>
      <c r="G812" s="96"/>
      <c r="H812" s="97"/>
      <c r="I812" s="96"/>
      <c r="J812" s="96"/>
      <c r="K812" s="107"/>
      <c r="L812" s="107"/>
      <c r="M812" s="102"/>
    </row>
    <row r="813" spans="1:13">
      <c r="A813" s="96"/>
      <c r="B813" s="97"/>
      <c r="C813" s="115"/>
      <c r="D813" s="115"/>
      <c r="E813" s="115"/>
      <c r="F813" s="105"/>
      <c r="G813" s="96"/>
      <c r="H813" s="97"/>
      <c r="I813" s="96"/>
      <c r="J813" s="96"/>
      <c r="K813" s="107"/>
      <c r="L813" s="107"/>
      <c r="M813" s="102"/>
    </row>
    <row r="814" spans="1:13">
      <c r="A814" s="96"/>
      <c r="B814" s="97"/>
      <c r="C814" s="115"/>
      <c r="D814" s="115"/>
      <c r="E814" s="115"/>
      <c r="F814" s="105"/>
      <c r="G814" s="96"/>
      <c r="H814" s="97"/>
      <c r="I814" s="96"/>
      <c r="J814" s="96"/>
      <c r="K814" s="107"/>
      <c r="L814" s="107"/>
      <c r="M814" s="102"/>
    </row>
    <row r="815" spans="1:13">
      <c r="A815" s="96"/>
      <c r="B815" s="97"/>
      <c r="C815" s="115"/>
      <c r="D815" s="115"/>
      <c r="E815" s="115"/>
      <c r="F815" s="105"/>
      <c r="G815" s="96"/>
      <c r="H815" s="97"/>
      <c r="I815" s="96"/>
      <c r="J815" s="96"/>
      <c r="K815" s="107"/>
      <c r="L815" s="107"/>
      <c r="M815" s="102"/>
    </row>
    <row r="816" spans="1:13">
      <c r="A816" s="96"/>
      <c r="B816" s="97"/>
      <c r="C816" s="115"/>
      <c r="D816" s="115"/>
      <c r="E816" s="115"/>
      <c r="F816" s="105"/>
      <c r="G816" s="96"/>
      <c r="H816" s="97"/>
      <c r="I816" s="96"/>
      <c r="J816" s="96"/>
      <c r="K816" s="107"/>
      <c r="L816" s="107"/>
      <c r="M816" s="102"/>
    </row>
    <row r="817" spans="1:13">
      <c r="A817" s="96"/>
      <c r="B817" s="97"/>
      <c r="C817" s="115"/>
      <c r="D817" s="115"/>
      <c r="E817" s="115"/>
      <c r="F817" s="105"/>
      <c r="G817" s="96"/>
      <c r="H817" s="97"/>
      <c r="I817" s="96"/>
      <c r="J817" s="96"/>
      <c r="K817" s="107"/>
      <c r="L817" s="107"/>
      <c r="M817" s="102"/>
    </row>
    <row r="818" spans="1:13">
      <c r="A818" s="96"/>
      <c r="B818" s="97"/>
      <c r="C818" s="115"/>
      <c r="D818" s="115"/>
      <c r="E818" s="115"/>
      <c r="F818" s="105"/>
      <c r="G818" s="96"/>
      <c r="H818" s="97"/>
      <c r="I818" s="96"/>
      <c r="J818" s="96"/>
      <c r="K818" s="107"/>
      <c r="L818" s="107"/>
      <c r="M818" s="102"/>
    </row>
    <row r="819" spans="1:13">
      <c r="A819" s="96"/>
      <c r="B819" s="97"/>
      <c r="C819" s="115"/>
      <c r="D819" s="115"/>
      <c r="E819" s="115"/>
      <c r="F819" s="105"/>
      <c r="G819" s="96"/>
      <c r="H819" s="97"/>
      <c r="I819" s="96"/>
      <c r="J819" s="96"/>
      <c r="K819" s="107"/>
      <c r="L819" s="107"/>
      <c r="M819" s="102"/>
    </row>
    <row r="820" spans="1:13">
      <c r="A820" s="96"/>
      <c r="B820" s="97"/>
      <c r="C820" s="115"/>
      <c r="D820" s="115"/>
      <c r="E820" s="115"/>
      <c r="F820" s="105"/>
      <c r="G820" s="96"/>
      <c r="H820" s="97"/>
      <c r="I820" s="96"/>
      <c r="J820" s="96"/>
      <c r="K820" s="107"/>
      <c r="L820" s="107"/>
      <c r="M820" s="102"/>
    </row>
    <row r="821" spans="1:13">
      <c r="A821" s="96"/>
      <c r="B821" s="97"/>
      <c r="C821" s="115"/>
      <c r="D821" s="115"/>
      <c r="E821" s="115"/>
      <c r="F821" s="105"/>
      <c r="G821" s="96"/>
      <c r="H821" s="97"/>
      <c r="I821" s="96"/>
      <c r="J821" s="96"/>
      <c r="K821" s="107"/>
      <c r="L821" s="107"/>
      <c r="M821" s="102"/>
    </row>
    <row r="822" spans="1:13">
      <c r="A822" s="96"/>
      <c r="B822" s="97"/>
      <c r="C822" s="115"/>
      <c r="D822" s="115"/>
      <c r="E822" s="115"/>
      <c r="F822" s="105"/>
      <c r="G822" s="96"/>
      <c r="H822" s="97"/>
      <c r="I822" s="96"/>
      <c r="J822" s="96"/>
      <c r="K822" s="107"/>
      <c r="L822" s="107"/>
      <c r="M822" s="102"/>
    </row>
    <row r="823" spans="1:13">
      <c r="A823" s="96"/>
      <c r="B823" s="97"/>
      <c r="C823" s="115"/>
      <c r="D823" s="115"/>
      <c r="E823" s="115"/>
      <c r="F823" s="105"/>
      <c r="G823" s="96"/>
      <c r="H823" s="97"/>
      <c r="I823" s="96"/>
      <c r="J823" s="96"/>
      <c r="K823" s="107"/>
      <c r="L823" s="107"/>
      <c r="M823" s="102"/>
    </row>
    <row r="824" spans="1:13">
      <c r="A824" s="96"/>
      <c r="B824" s="97"/>
      <c r="C824" s="115"/>
      <c r="D824" s="115"/>
      <c r="E824" s="115"/>
      <c r="F824" s="105"/>
      <c r="G824" s="96"/>
      <c r="H824" s="97"/>
      <c r="I824" s="96"/>
      <c r="J824" s="96"/>
      <c r="K824" s="107"/>
      <c r="L824" s="107"/>
      <c r="M824" s="102"/>
    </row>
    <row r="825" spans="1:13">
      <c r="A825" s="96"/>
      <c r="B825" s="97"/>
      <c r="C825" s="115"/>
      <c r="D825" s="115"/>
      <c r="E825" s="115"/>
      <c r="F825" s="105"/>
      <c r="G825" s="96"/>
      <c r="H825" s="97"/>
      <c r="I825" s="96"/>
      <c r="J825" s="96"/>
      <c r="K825" s="107"/>
      <c r="L825" s="107"/>
      <c r="M825" s="102"/>
    </row>
    <row r="826" spans="1:13">
      <c r="A826" s="96"/>
      <c r="B826" s="97"/>
      <c r="C826" s="115"/>
      <c r="D826" s="115"/>
      <c r="E826" s="115"/>
      <c r="F826" s="105"/>
      <c r="G826" s="96"/>
      <c r="H826" s="97"/>
      <c r="I826" s="96"/>
      <c r="J826" s="96"/>
      <c r="K826" s="107"/>
      <c r="L826" s="107"/>
      <c r="M826" s="102"/>
    </row>
    <row r="827" spans="1:13">
      <c r="A827" s="96"/>
      <c r="B827" s="97"/>
      <c r="C827" s="115"/>
      <c r="D827" s="115"/>
      <c r="E827" s="115"/>
      <c r="F827" s="105"/>
      <c r="G827" s="96"/>
      <c r="H827" s="97"/>
      <c r="I827" s="96"/>
      <c r="J827" s="96"/>
      <c r="K827" s="107"/>
      <c r="L827" s="107"/>
      <c r="M827" s="102"/>
    </row>
    <row r="828" spans="1:13">
      <c r="A828" s="96"/>
      <c r="B828" s="97"/>
      <c r="C828" s="115"/>
      <c r="D828" s="115"/>
      <c r="E828" s="115"/>
      <c r="F828" s="105"/>
      <c r="G828" s="96"/>
      <c r="H828" s="97"/>
      <c r="I828" s="96"/>
      <c r="J828" s="96"/>
      <c r="K828" s="107"/>
      <c r="L828" s="107"/>
      <c r="M828" s="102"/>
    </row>
    <row r="829" spans="1:13">
      <c r="A829" s="96"/>
      <c r="B829" s="97"/>
      <c r="C829" s="115"/>
      <c r="D829" s="115"/>
      <c r="E829" s="115"/>
      <c r="F829" s="105"/>
      <c r="G829" s="96"/>
      <c r="H829" s="97"/>
      <c r="I829" s="96"/>
      <c r="J829" s="96"/>
      <c r="K829" s="107"/>
      <c r="L829" s="107"/>
      <c r="M829" s="102"/>
    </row>
    <row r="830" spans="1:13">
      <c r="A830" s="96"/>
      <c r="B830" s="97"/>
      <c r="C830" s="115"/>
      <c r="D830" s="115"/>
      <c r="E830" s="115"/>
      <c r="F830" s="105"/>
      <c r="G830" s="96"/>
      <c r="H830" s="97"/>
      <c r="I830" s="96"/>
      <c r="J830" s="96"/>
      <c r="K830" s="107"/>
      <c r="L830" s="107"/>
      <c r="M830" s="102"/>
    </row>
    <row r="831" spans="1:13">
      <c r="A831" s="96"/>
      <c r="B831" s="97"/>
      <c r="C831" s="115"/>
      <c r="D831" s="115"/>
      <c r="E831" s="115"/>
      <c r="F831" s="105"/>
      <c r="G831" s="96"/>
      <c r="H831" s="97"/>
      <c r="I831" s="96"/>
      <c r="J831" s="96"/>
      <c r="K831" s="107"/>
      <c r="L831" s="107"/>
      <c r="M831" s="102"/>
    </row>
    <row r="832" spans="1:13">
      <c r="A832" s="96"/>
      <c r="B832" s="97"/>
      <c r="C832" s="115"/>
      <c r="D832" s="115"/>
      <c r="E832" s="115"/>
      <c r="F832" s="105"/>
      <c r="G832" s="96"/>
      <c r="H832" s="97"/>
      <c r="I832" s="96"/>
      <c r="J832" s="96"/>
      <c r="K832" s="107"/>
      <c r="L832" s="107"/>
      <c r="M832" s="102"/>
    </row>
    <row r="833" spans="1:13">
      <c r="A833" s="96"/>
      <c r="B833" s="97"/>
      <c r="C833" s="115"/>
      <c r="D833" s="115"/>
      <c r="E833" s="115"/>
      <c r="F833" s="105"/>
      <c r="G833" s="96"/>
      <c r="H833" s="97"/>
      <c r="I833" s="96"/>
      <c r="J833" s="96"/>
      <c r="K833" s="107"/>
      <c r="L833" s="107"/>
      <c r="M833" s="102"/>
    </row>
    <row r="834" spans="1:13">
      <c r="A834" s="96"/>
      <c r="B834" s="97"/>
      <c r="C834" s="115"/>
      <c r="D834" s="115"/>
      <c r="E834" s="115"/>
      <c r="F834" s="105"/>
      <c r="G834" s="96"/>
      <c r="H834" s="97"/>
      <c r="I834" s="96"/>
      <c r="J834" s="96"/>
      <c r="K834" s="107"/>
      <c r="L834" s="107"/>
      <c r="M834" s="102"/>
    </row>
    <row r="835" spans="1:13">
      <c r="A835" s="96"/>
      <c r="B835" s="97"/>
      <c r="C835" s="115"/>
      <c r="D835" s="115"/>
      <c r="E835" s="115"/>
      <c r="F835" s="105"/>
      <c r="G835" s="96"/>
      <c r="H835" s="97"/>
      <c r="I835" s="96"/>
      <c r="J835" s="96"/>
      <c r="K835" s="107"/>
      <c r="L835" s="107"/>
      <c r="M835" s="102"/>
    </row>
    <row r="836" spans="1:13">
      <c r="A836" s="96"/>
      <c r="B836" s="97"/>
      <c r="C836" s="115"/>
      <c r="D836" s="115"/>
      <c r="E836" s="115"/>
      <c r="F836" s="105"/>
      <c r="G836" s="96"/>
      <c r="H836" s="97"/>
      <c r="I836" s="96"/>
      <c r="J836" s="96"/>
      <c r="K836" s="107"/>
      <c r="L836" s="107"/>
      <c r="M836" s="102"/>
    </row>
    <row r="837" spans="1:13">
      <c r="A837" s="96"/>
      <c r="B837" s="97"/>
      <c r="C837" s="115"/>
      <c r="D837" s="115"/>
      <c r="E837" s="115"/>
      <c r="F837" s="105"/>
      <c r="G837" s="96"/>
      <c r="H837" s="97"/>
      <c r="I837" s="96"/>
      <c r="J837" s="96"/>
      <c r="K837" s="107"/>
      <c r="L837" s="107"/>
      <c r="M837" s="102"/>
    </row>
    <row r="838" spans="1:13">
      <c r="A838" s="96"/>
      <c r="B838" s="97"/>
      <c r="C838" s="115"/>
      <c r="D838" s="115"/>
      <c r="E838" s="115"/>
      <c r="F838" s="105"/>
      <c r="G838" s="96"/>
      <c r="H838" s="97"/>
      <c r="I838" s="96"/>
      <c r="J838" s="96"/>
      <c r="K838" s="107"/>
      <c r="L838" s="107"/>
      <c r="M838" s="102"/>
    </row>
    <row r="839" spans="1:13">
      <c r="A839" s="96"/>
      <c r="B839" s="97"/>
      <c r="C839" s="115"/>
      <c r="D839" s="115"/>
      <c r="E839" s="115"/>
      <c r="F839" s="105"/>
      <c r="G839" s="96"/>
      <c r="H839" s="97"/>
      <c r="I839" s="96"/>
      <c r="J839" s="96"/>
      <c r="K839" s="107"/>
      <c r="L839" s="107"/>
      <c r="M839" s="102"/>
    </row>
    <row r="840" spans="1:13">
      <c r="A840" s="96"/>
      <c r="B840" s="97"/>
      <c r="C840" s="115"/>
      <c r="D840" s="115"/>
      <c r="E840" s="115"/>
      <c r="F840" s="105"/>
      <c r="G840" s="96"/>
      <c r="H840" s="97"/>
      <c r="I840" s="96"/>
      <c r="J840" s="96"/>
      <c r="K840" s="107"/>
      <c r="L840" s="107"/>
      <c r="M840" s="102"/>
    </row>
    <row r="841" spans="1:13">
      <c r="A841" s="96"/>
      <c r="B841" s="97"/>
      <c r="C841" s="115"/>
      <c r="D841" s="115"/>
      <c r="E841" s="115"/>
      <c r="F841" s="105"/>
      <c r="G841" s="96"/>
      <c r="H841" s="97"/>
      <c r="I841" s="96"/>
      <c r="J841" s="96"/>
      <c r="K841" s="107"/>
      <c r="L841" s="107"/>
      <c r="M841" s="102"/>
    </row>
    <row r="842" spans="1:13">
      <c r="A842" s="96"/>
      <c r="B842" s="97"/>
      <c r="C842" s="115"/>
      <c r="D842" s="115"/>
      <c r="E842" s="115"/>
      <c r="F842" s="105"/>
      <c r="G842" s="96"/>
      <c r="H842" s="97"/>
      <c r="I842" s="96"/>
      <c r="J842" s="96"/>
      <c r="K842" s="107"/>
      <c r="L842" s="107"/>
      <c r="M842" s="102"/>
    </row>
    <row r="843" spans="1:13">
      <c r="A843" s="96"/>
      <c r="B843" s="97"/>
      <c r="C843" s="115"/>
      <c r="D843" s="115"/>
      <c r="E843" s="115"/>
      <c r="F843" s="105"/>
      <c r="G843" s="96"/>
      <c r="H843" s="97"/>
      <c r="I843" s="96"/>
      <c r="J843" s="96"/>
      <c r="K843" s="107"/>
      <c r="L843" s="107"/>
      <c r="M843" s="102"/>
    </row>
    <row r="844" spans="1:13">
      <c r="A844" s="96"/>
      <c r="B844" s="97"/>
      <c r="C844" s="115"/>
      <c r="D844" s="115"/>
      <c r="E844" s="115"/>
      <c r="F844" s="105"/>
      <c r="G844" s="96"/>
      <c r="H844" s="97"/>
      <c r="I844" s="96"/>
      <c r="J844" s="96"/>
      <c r="K844" s="107"/>
      <c r="L844" s="107"/>
      <c r="M844" s="102"/>
    </row>
    <row r="845" spans="1:13">
      <c r="A845" s="96"/>
      <c r="B845" s="97"/>
      <c r="C845" s="115"/>
      <c r="D845" s="115"/>
      <c r="E845" s="115"/>
      <c r="F845" s="105"/>
      <c r="G845" s="96"/>
      <c r="H845" s="97"/>
      <c r="I845" s="96"/>
      <c r="J845" s="96"/>
      <c r="K845" s="107"/>
      <c r="L845" s="107"/>
      <c r="M845" s="102"/>
    </row>
    <row r="846" spans="1:13">
      <c r="A846" s="96"/>
      <c r="B846" s="97"/>
      <c r="C846" s="115"/>
      <c r="D846" s="115"/>
      <c r="E846" s="115"/>
      <c r="F846" s="105"/>
      <c r="G846" s="96"/>
      <c r="H846" s="97"/>
      <c r="I846" s="96"/>
      <c r="J846" s="96"/>
      <c r="K846" s="107"/>
      <c r="L846" s="107"/>
      <c r="M846" s="102"/>
    </row>
    <row r="847" spans="1:13">
      <c r="A847" s="96"/>
      <c r="B847" s="97"/>
      <c r="C847" s="115"/>
      <c r="D847" s="115"/>
      <c r="E847" s="115"/>
      <c r="F847" s="105"/>
      <c r="G847" s="96"/>
      <c r="H847" s="97"/>
      <c r="I847" s="96"/>
      <c r="J847" s="96"/>
      <c r="K847" s="107"/>
      <c r="L847" s="107"/>
      <c r="M847" s="102"/>
    </row>
    <row r="848" spans="1:13">
      <c r="A848" s="96"/>
      <c r="B848" s="97"/>
      <c r="C848" s="115"/>
      <c r="D848" s="115"/>
      <c r="E848" s="115"/>
      <c r="F848" s="105"/>
      <c r="G848" s="96"/>
      <c r="H848" s="97"/>
      <c r="I848" s="96"/>
      <c r="J848" s="96"/>
      <c r="K848" s="107"/>
      <c r="L848" s="107"/>
      <c r="M848" s="102"/>
    </row>
    <row r="849" spans="1:13">
      <c r="A849" s="96"/>
      <c r="B849" s="97"/>
      <c r="C849" s="115"/>
      <c r="D849" s="115"/>
      <c r="E849" s="115"/>
      <c r="F849" s="105"/>
      <c r="G849" s="96"/>
      <c r="H849" s="97"/>
      <c r="I849" s="96"/>
      <c r="J849" s="96"/>
      <c r="K849" s="107"/>
      <c r="L849" s="107"/>
      <c r="M849" s="102"/>
    </row>
    <row r="850" spans="1:13">
      <c r="A850" s="96"/>
      <c r="B850" s="97"/>
      <c r="C850" s="115"/>
      <c r="D850" s="115"/>
      <c r="E850" s="115"/>
      <c r="F850" s="105"/>
      <c r="G850" s="96"/>
      <c r="H850" s="97"/>
      <c r="I850" s="96"/>
      <c r="J850" s="96"/>
      <c r="K850" s="107"/>
      <c r="L850" s="107"/>
      <c r="M850" s="102"/>
    </row>
    <row r="851" spans="1:13">
      <c r="A851" s="96"/>
      <c r="B851" s="97"/>
      <c r="C851" s="115"/>
      <c r="D851" s="115"/>
      <c r="E851" s="115"/>
      <c r="F851" s="105"/>
      <c r="G851" s="96"/>
      <c r="H851" s="97"/>
      <c r="I851" s="96"/>
      <c r="J851" s="96"/>
      <c r="K851" s="107"/>
      <c r="L851" s="107"/>
      <c r="M851" s="102"/>
    </row>
    <row r="852" spans="1:13">
      <c r="A852" s="96"/>
      <c r="B852" s="97"/>
      <c r="C852" s="115"/>
      <c r="D852" s="115"/>
      <c r="E852" s="115"/>
      <c r="F852" s="105"/>
      <c r="G852" s="96"/>
      <c r="H852" s="97"/>
      <c r="I852" s="96"/>
      <c r="J852" s="96"/>
      <c r="K852" s="107"/>
      <c r="L852" s="107"/>
      <c r="M852" s="102"/>
    </row>
    <row r="853" spans="1:13">
      <c r="A853" s="96"/>
      <c r="B853" s="97"/>
      <c r="C853" s="115"/>
      <c r="D853" s="115"/>
      <c r="E853" s="115"/>
      <c r="F853" s="105"/>
      <c r="G853" s="96"/>
      <c r="H853" s="97"/>
      <c r="I853" s="96"/>
      <c r="J853" s="96"/>
      <c r="K853" s="107"/>
      <c r="L853" s="107"/>
      <c r="M853" s="102"/>
    </row>
    <row r="854" spans="1:13">
      <c r="A854" s="96"/>
      <c r="B854" s="97"/>
      <c r="C854" s="115"/>
      <c r="D854" s="115"/>
      <c r="E854" s="115"/>
      <c r="F854" s="105"/>
      <c r="G854" s="96"/>
      <c r="H854" s="97"/>
      <c r="I854" s="96"/>
      <c r="J854" s="96"/>
      <c r="K854" s="107"/>
      <c r="L854" s="107"/>
      <c r="M854" s="102"/>
    </row>
    <row r="855" spans="1:13">
      <c r="A855" s="96"/>
      <c r="B855" s="97"/>
      <c r="C855" s="115"/>
      <c r="D855" s="115"/>
      <c r="E855" s="115"/>
      <c r="F855" s="105"/>
      <c r="G855" s="96"/>
      <c r="H855" s="97"/>
      <c r="I855" s="96"/>
      <c r="J855" s="96"/>
      <c r="K855" s="107"/>
      <c r="L855" s="107"/>
      <c r="M855" s="102"/>
    </row>
    <row r="856" spans="1:13">
      <c r="A856" s="96"/>
      <c r="B856" s="97"/>
      <c r="C856" s="115"/>
      <c r="D856" s="115"/>
      <c r="E856" s="115"/>
      <c r="F856" s="105"/>
      <c r="G856" s="96"/>
      <c r="H856" s="97"/>
      <c r="I856" s="96"/>
      <c r="J856" s="96"/>
      <c r="K856" s="107"/>
      <c r="L856" s="107"/>
      <c r="M856" s="102"/>
    </row>
    <row r="857" spans="1:13">
      <c r="A857" s="96"/>
      <c r="B857" s="97"/>
      <c r="C857" s="115"/>
      <c r="D857" s="115"/>
      <c r="E857" s="115"/>
      <c r="F857" s="105"/>
      <c r="G857" s="96"/>
      <c r="H857" s="97"/>
      <c r="I857" s="96"/>
      <c r="J857" s="96"/>
      <c r="K857" s="107"/>
      <c r="L857" s="107"/>
      <c r="M857" s="102"/>
    </row>
    <row r="858" spans="1:13">
      <c r="A858" s="96"/>
      <c r="B858" s="97"/>
      <c r="C858" s="115"/>
      <c r="D858" s="115"/>
      <c r="E858" s="115"/>
      <c r="F858" s="105"/>
      <c r="G858" s="96"/>
      <c r="H858" s="97"/>
      <c r="I858" s="96"/>
      <c r="J858" s="96"/>
      <c r="K858" s="107"/>
      <c r="L858" s="107"/>
      <c r="M858" s="102"/>
    </row>
    <row r="859" spans="1:13">
      <c r="A859" s="96"/>
      <c r="B859" s="97"/>
      <c r="C859" s="115"/>
      <c r="D859" s="115"/>
      <c r="E859" s="115"/>
      <c r="F859" s="105"/>
      <c r="G859" s="96"/>
      <c r="H859" s="97"/>
      <c r="I859" s="96"/>
      <c r="J859" s="96"/>
      <c r="K859" s="107"/>
      <c r="L859" s="107"/>
      <c r="M859" s="102"/>
    </row>
    <row r="860" spans="1:13">
      <c r="A860" s="96"/>
      <c r="B860" s="97"/>
      <c r="C860" s="115"/>
      <c r="D860" s="115"/>
      <c r="E860" s="115"/>
      <c r="F860" s="105"/>
      <c r="G860" s="96"/>
      <c r="H860" s="97"/>
      <c r="I860" s="96"/>
      <c r="J860" s="96"/>
      <c r="K860" s="107"/>
      <c r="L860" s="107"/>
      <c r="M860" s="102"/>
    </row>
    <row r="861" spans="1:13">
      <c r="A861" s="96"/>
      <c r="B861" s="97"/>
      <c r="C861" s="115"/>
      <c r="D861" s="115"/>
      <c r="E861" s="115"/>
      <c r="F861" s="105"/>
      <c r="G861" s="96"/>
      <c r="H861" s="97"/>
      <c r="I861" s="96"/>
      <c r="J861" s="96"/>
      <c r="K861" s="107"/>
      <c r="L861" s="107"/>
      <c r="M861" s="102"/>
    </row>
    <row r="862" spans="1:13">
      <c r="A862" s="96"/>
      <c r="B862" s="97"/>
      <c r="C862" s="115"/>
      <c r="D862" s="115"/>
      <c r="E862" s="115"/>
      <c r="F862" s="105"/>
      <c r="G862" s="96"/>
      <c r="H862" s="97"/>
      <c r="I862" s="96"/>
      <c r="J862" s="96"/>
      <c r="K862" s="107"/>
      <c r="L862" s="107"/>
      <c r="M862" s="102"/>
    </row>
    <row r="863" spans="1:13">
      <c r="A863" s="96"/>
      <c r="B863" s="97"/>
      <c r="C863" s="115"/>
      <c r="D863" s="115"/>
      <c r="E863" s="115"/>
      <c r="F863" s="105"/>
      <c r="G863" s="96"/>
      <c r="H863" s="97"/>
      <c r="I863" s="96"/>
      <c r="J863" s="96"/>
      <c r="K863" s="107"/>
      <c r="L863" s="107"/>
      <c r="M863" s="102"/>
    </row>
    <row r="864" spans="1:13">
      <c r="A864" s="96"/>
      <c r="B864" s="97"/>
      <c r="C864" s="115"/>
      <c r="D864" s="115"/>
      <c r="E864" s="115"/>
      <c r="F864" s="105"/>
      <c r="G864" s="96"/>
      <c r="H864" s="97"/>
      <c r="I864" s="96"/>
      <c r="J864" s="96"/>
      <c r="K864" s="107"/>
      <c r="L864" s="107"/>
      <c r="M864" s="102"/>
    </row>
    <row r="865" spans="1:13">
      <c r="A865" s="96"/>
      <c r="B865" s="97"/>
      <c r="C865" s="115"/>
      <c r="D865" s="115"/>
      <c r="E865" s="115"/>
      <c r="F865" s="105"/>
      <c r="G865" s="96"/>
      <c r="H865" s="97"/>
      <c r="I865" s="96"/>
      <c r="J865" s="96"/>
      <c r="K865" s="107"/>
      <c r="L865" s="107"/>
      <c r="M865" s="102"/>
    </row>
    <row r="866" spans="1:13">
      <c r="A866" s="96"/>
      <c r="B866" s="97"/>
      <c r="C866" s="115"/>
      <c r="D866" s="115"/>
      <c r="E866" s="115"/>
      <c r="F866" s="105"/>
      <c r="G866" s="96"/>
      <c r="H866" s="97"/>
      <c r="I866" s="96"/>
      <c r="J866" s="96"/>
      <c r="K866" s="107"/>
      <c r="L866" s="107"/>
      <c r="M866" s="102"/>
    </row>
    <row r="867" spans="1:13">
      <c r="A867" s="96"/>
      <c r="B867" s="97"/>
      <c r="C867" s="115"/>
      <c r="D867" s="115"/>
      <c r="E867" s="115"/>
      <c r="F867" s="105"/>
      <c r="G867" s="96"/>
      <c r="H867" s="97"/>
      <c r="I867" s="96"/>
      <c r="J867" s="96"/>
      <c r="K867" s="107"/>
      <c r="L867" s="107"/>
      <c r="M867" s="102"/>
    </row>
    <row r="868" spans="1:13">
      <c r="A868" s="96"/>
      <c r="B868" s="97"/>
      <c r="C868" s="115"/>
      <c r="D868" s="115"/>
      <c r="E868" s="115"/>
      <c r="F868" s="105"/>
      <c r="G868" s="96"/>
      <c r="H868" s="97"/>
      <c r="I868" s="96"/>
      <c r="J868" s="96"/>
      <c r="K868" s="107"/>
      <c r="L868" s="107"/>
      <c r="M868" s="102"/>
    </row>
    <row r="869" spans="1:13">
      <c r="A869" s="96"/>
      <c r="B869" s="97"/>
      <c r="C869" s="115"/>
      <c r="D869" s="115"/>
      <c r="E869" s="115"/>
      <c r="F869" s="105"/>
      <c r="G869" s="96"/>
      <c r="H869" s="97"/>
      <c r="I869" s="96"/>
      <c r="J869" s="96"/>
      <c r="K869" s="107"/>
      <c r="L869" s="107"/>
      <c r="M869" s="102"/>
    </row>
    <row r="870" spans="1:13">
      <c r="A870" s="96"/>
      <c r="B870" s="97"/>
      <c r="C870" s="115"/>
      <c r="D870" s="115"/>
      <c r="E870" s="115"/>
      <c r="F870" s="105"/>
      <c r="G870" s="96"/>
      <c r="H870" s="97"/>
      <c r="I870" s="96"/>
      <c r="J870" s="96"/>
      <c r="K870" s="107"/>
      <c r="L870" s="107"/>
      <c r="M870" s="102"/>
    </row>
    <row r="871" spans="1:13">
      <c r="A871" s="96"/>
      <c r="B871" s="97"/>
      <c r="C871" s="115"/>
      <c r="D871" s="115"/>
      <c r="E871" s="115"/>
      <c r="F871" s="105"/>
      <c r="G871" s="96"/>
      <c r="H871" s="97"/>
      <c r="I871" s="96"/>
      <c r="J871" s="96"/>
      <c r="K871" s="107"/>
      <c r="L871" s="107"/>
      <c r="M871" s="102"/>
    </row>
    <row r="872" spans="1:13">
      <c r="A872" s="96"/>
      <c r="B872" s="97"/>
      <c r="C872" s="115"/>
      <c r="D872" s="115"/>
      <c r="E872" s="115"/>
      <c r="F872" s="105"/>
      <c r="G872" s="96"/>
      <c r="H872" s="97"/>
      <c r="I872" s="96"/>
      <c r="J872" s="96"/>
      <c r="K872" s="107"/>
      <c r="L872" s="107"/>
      <c r="M872" s="102"/>
    </row>
    <row r="873" spans="1:13">
      <c r="A873" s="96"/>
      <c r="B873" s="97"/>
      <c r="C873" s="115"/>
      <c r="D873" s="115"/>
      <c r="E873" s="115"/>
      <c r="F873" s="105"/>
      <c r="G873" s="96"/>
      <c r="H873" s="97"/>
      <c r="I873" s="96"/>
      <c r="J873" s="96"/>
      <c r="K873" s="107"/>
      <c r="L873" s="107"/>
      <c r="M873" s="102"/>
    </row>
    <row r="874" spans="1:13">
      <c r="A874" s="96"/>
      <c r="B874" s="97"/>
      <c r="C874" s="115"/>
      <c r="D874" s="115"/>
      <c r="E874" s="115"/>
      <c r="F874" s="105"/>
      <c r="G874" s="96"/>
      <c r="H874" s="97"/>
      <c r="I874" s="96"/>
      <c r="J874" s="96"/>
      <c r="K874" s="107"/>
      <c r="L874" s="107"/>
      <c r="M874" s="102"/>
    </row>
    <row r="875" spans="1:13">
      <c r="A875" s="96"/>
      <c r="B875" s="97"/>
      <c r="C875" s="115"/>
      <c r="D875" s="115"/>
      <c r="E875" s="115"/>
      <c r="F875" s="105"/>
      <c r="G875" s="96"/>
      <c r="H875" s="97"/>
      <c r="I875" s="96"/>
      <c r="J875" s="96"/>
      <c r="K875" s="107"/>
      <c r="L875" s="107"/>
      <c r="M875" s="102"/>
    </row>
    <row r="876" spans="1:13">
      <c r="A876" s="96"/>
      <c r="B876" s="97"/>
      <c r="C876" s="115"/>
      <c r="D876" s="115"/>
      <c r="E876" s="115"/>
      <c r="F876" s="105"/>
      <c r="G876" s="96"/>
      <c r="H876" s="97"/>
      <c r="I876" s="96"/>
      <c r="J876" s="96"/>
      <c r="K876" s="107"/>
      <c r="L876" s="107"/>
      <c r="M876" s="102"/>
    </row>
    <row r="877" spans="1:13">
      <c r="A877" s="96"/>
      <c r="B877" s="97"/>
      <c r="C877" s="115"/>
      <c r="D877" s="115"/>
      <c r="E877" s="115"/>
      <c r="F877" s="105"/>
      <c r="G877" s="96"/>
      <c r="H877" s="97"/>
      <c r="I877" s="96"/>
      <c r="J877" s="96"/>
      <c r="K877" s="107"/>
      <c r="L877" s="107"/>
      <c r="M877" s="102"/>
    </row>
    <row r="878" spans="1:13">
      <c r="A878" s="96"/>
      <c r="B878" s="97"/>
      <c r="C878" s="115"/>
      <c r="D878" s="115"/>
      <c r="E878" s="115"/>
      <c r="F878" s="105"/>
      <c r="G878" s="96"/>
      <c r="H878" s="97"/>
      <c r="I878" s="96"/>
      <c r="J878" s="96"/>
      <c r="K878" s="107"/>
      <c r="L878" s="107"/>
      <c r="M878" s="102"/>
    </row>
    <row r="879" spans="1:13">
      <c r="A879" s="96"/>
      <c r="B879" s="97"/>
      <c r="C879" s="115"/>
      <c r="D879" s="115"/>
      <c r="E879" s="115"/>
      <c r="F879" s="105"/>
      <c r="G879" s="96"/>
      <c r="H879" s="97"/>
      <c r="I879" s="96"/>
      <c r="J879" s="96"/>
      <c r="K879" s="107"/>
      <c r="L879" s="107"/>
      <c r="M879" s="102"/>
    </row>
    <row r="880" spans="1:13">
      <c r="A880" s="96"/>
      <c r="B880" s="97"/>
      <c r="C880" s="115"/>
      <c r="D880" s="115"/>
      <c r="E880" s="115"/>
      <c r="F880" s="105"/>
      <c r="G880" s="96"/>
      <c r="H880" s="97"/>
      <c r="I880" s="96"/>
      <c r="J880" s="96"/>
      <c r="K880" s="107"/>
      <c r="L880" s="107"/>
      <c r="M880" s="102"/>
    </row>
    <row r="881" spans="1:13">
      <c r="A881" s="96"/>
      <c r="B881" s="97"/>
      <c r="C881" s="115"/>
      <c r="D881" s="115"/>
      <c r="E881" s="115"/>
      <c r="F881" s="105"/>
      <c r="G881" s="96"/>
      <c r="H881" s="97"/>
      <c r="I881" s="96"/>
      <c r="J881" s="96"/>
      <c r="K881" s="107"/>
      <c r="L881" s="107"/>
      <c r="M881" s="102"/>
    </row>
    <row r="882" spans="1:13">
      <c r="A882" s="96"/>
      <c r="B882" s="97"/>
      <c r="C882" s="115"/>
      <c r="D882" s="115"/>
      <c r="E882" s="115"/>
      <c r="F882" s="105"/>
      <c r="G882" s="96"/>
      <c r="H882" s="97"/>
      <c r="I882" s="96"/>
      <c r="J882" s="96"/>
      <c r="K882" s="107"/>
      <c r="L882" s="107"/>
      <c r="M882" s="102"/>
    </row>
    <row r="883" spans="1:13">
      <c r="A883" s="96"/>
      <c r="B883" s="97"/>
      <c r="C883" s="115"/>
      <c r="D883" s="115"/>
      <c r="E883" s="115"/>
      <c r="F883" s="105"/>
      <c r="G883" s="96"/>
      <c r="H883" s="97"/>
      <c r="I883" s="96"/>
      <c r="J883" s="96"/>
      <c r="K883" s="107"/>
      <c r="L883" s="107"/>
      <c r="M883" s="102"/>
    </row>
    <row r="884" spans="1:13">
      <c r="A884" s="96"/>
      <c r="B884" s="97"/>
      <c r="C884" s="115"/>
      <c r="D884" s="115"/>
      <c r="E884" s="115"/>
      <c r="F884" s="105"/>
      <c r="G884" s="96"/>
      <c r="H884" s="97"/>
      <c r="I884" s="96"/>
      <c r="J884" s="96"/>
      <c r="K884" s="107"/>
      <c r="L884" s="107"/>
      <c r="M884" s="102"/>
    </row>
    <row r="885" spans="1:13">
      <c r="A885" s="96"/>
      <c r="B885" s="97"/>
      <c r="C885" s="115"/>
      <c r="D885" s="115"/>
      <c r="E885" s="115"/>
      <c r="F885" s="105"/>
      <c r="G885" s="96"/>
      <c r="H885" s="97"/>
      <c r="I885" s="96"/>
      <c r="J885" s="96"/>
      <c r="K885" s="107"/>
      <c r="L885" s="107"/>
      <c r="M885" s="102"/>
    </row>
    <row r="886" spans="1:13">
      <c r="A886" s="96"/>
      <c r="B886" s="97"/>
      <c r="C886" s="115"/>
      <c r="D886" s="115"/>
      <c r="E886" s="115"/>
      <c r="F886" s="105"/>
      <c r="G886" s="96"/>
      <c r="H886" s="97"/>
      <c r="I886" s="96"/>
      <c r="J886" s="96"/>
      <c r="K886" s="107"/>
      <c r="L886" s="107"/>
      <c r="M886" s="102"/>
    </row>
    <row r="887" spans="1:13">
      <c r="A887" s="96"/>
      <c r="B887" s="97"/>
      <c r="C887" s="115"/>
      <c r="D887" s="115"/>
      <c r="E887" s="115"/>
      <c r="F887" s="105"/>
      <c r="G887" s="96"/>
      <c r="H887" s="97"/>
      <c r="I887" s="96"/>
      <c r="J887" s="96"/>
      <c r="K887" s="107"/>
      <c r="L887" s="107"/>
      <c r="M887" s="102"/>
    </row>
    <row r="888" spans="1:13">
      <c r="A888" s="96"/>
      <c r="B888" s="97"/>
      <c r="C888" s="115"/>
      <c r="D888" s="115"/>
      <c r="E888" s="115"/>
      <c r="F888" s="105"/>
      <c r="G888" s="96"/>
      <c r="H888" s="97"/>
      <c r="I888" s="96"/>
      <c r="J888" s="96"/>
      <c r="K888" s="107"/>
      <c r="L888" s="107"/>
      <c r="M888" s="102"/>
    </row>
    <row r="889" spans="1:13">
      <c r="A889" s="96"/>
      <c r="B889" s="97"/>
      <c r="C889" s="115"/>
      <c r="D889" s="115"/>
      <c r="E889" s="115"/>
      <c r="F889" s="105"/>
      <c r="G889" s="96"/>
      <c r="H889" s="97"/>
      <c r="I889" s="96"/>
      <c r="J889" s="96"/>
      <c r="K889" s="107"/>
      <c r="L889" s="107"/>
      <c r="M889" s="102"/>
    </row>
    <row r="890" spans="1:13">
      <c r="A890" s="96"/>
      <c r="B890" s="97"/>
      <c r="C890" s="115"/>
      <c r="D890" s="115"/>
      <c r="E890" s="115"/>
      <c r="F890" s="105"/>
      <c r="G890" s="96"/>
      <c r="H890" s="97"/>
      <c r="I890" s="96"/>
      <c r="J890" s="96"/>
      <c r="K890" s="107"/>
      <c r="L890" s="107"/>
      <c r="M890" s="102"/>
    </row>
    <row r="891" spans="1:13">
      <c r="A891" s="96"/>
      <c r="B891" s="97"/>
      <c r="C891" s="115"/>
      <c r="D891" s="115"/>
      <c r="E891" s="115"/>
      <c r="F891" s="105"/>
      <c r="G891" s="96"/>
      <c r="H891" s="97"/>
      <c r="I891" s="96"/>
      <c r="J891" s="96"/>
      <c r="K891" s="107"/>
      <c r="L891" s="107"/>
      <c r="M891" s="102"/>
    </row>
    <row r="892" spans="1:13">
      <c r="A892" s="96"/>
      <c r="B892" s="97"/>
      <c r="C892" s="115"/>
      <c r="D892" s="115"/>
      <c r="E892" s="115"/>
      <c r="F892" s="105"/>
      <c r="G892" s="96"/>
      <c r="H892" s="97"/>
      <c r="I892" s="96"/>
      <c r="J892" s="96"/>
      <c r="K892" s="107"/>
      <c r="L892" s="107"/>
      <c r="M892" s="102"/>
    </row>
    <row r="893" spans="1:13">
      <c r="A893" s="96"/>
      <c r="B893" s="97"/>
      <c r="C893" s="115"/>
      <c r="D893" s="115"/>
      <c r="E893" s="115"/>
      <c r="F893" s="105"/>
      <c r="G893" s="96"/>
      <c r="H893" s="97"/>
      <c r="I893" s="96"/>
      <c r="J893" s="96"/>
      <c r="K893" s="107"/>
      <c r="L893" s="107"/>
      <c r="M893" s="102"/>
    </row>
    <row r="894" spans="1:13">
      <c r="A894" s="96"/>
      <c r="B894" s="97"/>
      <c r="C894" s="115"/>
      <c r="D894" s="115"/>
      <c r="E894" s="115"/>
      <c r="F894" s="105"/>
      <c r="G894" s="96"/>
      <c r="H894" s="97"/>
      <c r="I894" s="96"/>
      <c r="J894" s="96"/>
      <c r="K894" s="107"/>
      <c r="L894" s="107"/>
      <c r="M894" s="102"/>
    </row>
    <row r="895" spans="1:13">
      <c r="A895" s="96"/>
      <c r="B895" s="97"/>
      <c r="C895" s="115"/>
      <c r="D895" s="115"/>
      <c r="E895" s="115"/>
      <c r="F895" s="105"/>
      <c r="G895" s="96"/>
      <c r="H895" s="97"/>
      <c r="I895" s="96"/>
      <c r="J895" s="96"/>
      <c r="K895" s="107"/>
      <c r="L895" s="107"/>
      <c r="M895" s="102"/>
    </row>
    <row r="896" spans="1:13">
      <c r="A896" s="96"/>
      <c r="B896" s="97"/>
      <c r="C896" s="115"/>
      <c r="D896" s="115"/>
      <c r="E896" s="115"/>
      <c r="F896" s="105"/>
      <c r="G896" s="96"/>
      <c r="H896" s="97"/>
      <c r="I896" s="96"/>
      <c r="J896" s="96"/>
      <c r="K896" s="107"/>
      <c r="L896" s="107"/>
      <c r="M896" s="102"/>
    </row>
    <row r="897" spans="1:13">
      <c r="A897" s="96"/>
      <c r="B897" s="97"/>
      <c r="C897" s="115"/>
      <c r="D897" s="115"/>
      <c r="E897" s="115"/>
      <c r="F897" s="105"/>
      <c r="G897" s="96"/>
      <c r="H897" s="97"/>
      <c r="I897" s="96"/>
      <c r="J897" s="96"/>
      <c r="K897" s="107"/>
      <c r="L897" s="107"/>
      <c r="M897" s="102"/>
    </row>
    <row r="898" spans="1:13">
      <c r="A898" s="96"/>
      <c r="B898" s="97"/>
      <c r="C898" s="115"/>
      <c r="D898" s="115"/>
      <c r="E898" s="115"/>
      <c r="F898" s="105"/>
      <c r="G898" s="96"/>
      <c r="H898" s="97"/>
      <c r="I898" s="96"/>
      <c r="J898" s="96"/>
      <c r="K898" s="107"/>
      <c r="L898" s="107"/>
      <c r="M898" s="102"/>
    </row>
    <row r="899" spans="1:13">
      <c r="A899" s="96"/>
      <c r="B899" s="97"/>
      <c r="C899" s="115"/>
      <c r="D899" s="115"/>
      <c r="E899" s="115"/>
      <c r="F899" s="105"/>
      <c r="G899" s="96"/>
      <c r="H899" s="97"/>
      <c r="I899" s="96"/>
      <c r="J899" s="96"/>
      <c r="K899" s="107"/>
      <c r="L899" s="107"/>
      <c r="M899" s="102"/>
    </row>
    <row r="900" spans="1:13">
      <c r="A900" s="96"/>
      <c r="B900" s="97"/>
      <c r="C900" s="115"/>
      <c r="D900" s="115"/>
      <c r="E900" s="115"/>
      <c r="F900" s="105"/>
      <c r="G900" s="96"/>
      <c r="H900" s="97"/>
      <c r="I900" s="96"/>
      <c r="J900" s="96"/>
      <c r="K900" s="107"/>
      <c r="L900" s="107"/>
      <c r="M900" s="102"/>
    </row>
    <row r="901" spans="1:13">
      <c r="A901" s="96"/>
      <c r="B901" s="97"/>
      <c r="C901" s="115"/>
      <c r="D901" s="115"/>
      <c r="E901" s="115"/>
      <c r="F901" s="105"/>
      <c r="G901" s="96"/>
      <c r="H901" s="97"/>
      <c r="I901" s="96"/>
      <c r="J901" s="96"/>
      <c r="K901" s="107"/>
      <c r="L901" s="107"/>
      <c r="M901" s="102"/>
    </row>
    <row r="902" spans="1:13">
      <c r="A902" s="96"/>
      <c r="B902" s="97"/>
      <c r="C902" s="115"/>
      <c r="D902" s="115"/>
      <c r="E902" s="115"/>
      <c r="F902" s="105"/>
      <c r="G902" s="96"/>
      <c r="H902" s="97"/>
      <c r="I902" s="96"/>
      <c r="J902" s="96"/>
      <c r="K902" s="107"/>
      <c r="L902" s="107"/>
      <c r="M902" s="102"/>
    </row>
    <row r="903" spans="1:13">
      <c r="A903" s="96"/>
      <c r="B903" s="97"/>
      <c r="C903" s="115"/>
      <c r="D903" s="115"/>
      <c r="E903" s="115"/>
      <c r="F903" s="105"/>
      <c r="G903" s="96"/>
      <c r="H903" s="97"/>
      <c r="I903" s="96"/>
      <c r="J903" s="96"/>
      <c r="K903" s="107"/>
      <c r="L903" s="107"/>
      <c r="M903" s="102"/>
    </row>
    <row r="904" spans="1:13">
      <c r="A904" s="96"/>
      <c r="B904" s="97"/>
      <c r="C904" s="115"/>
      <c r="D904" s="115"/>
      <c r="E904" s="115"/>
      <c r="F904" s="105"/>
      <c r="G904" s="96"/>
      <c r="H904" s="97"/>
      <c r="I904" s="96"/>
      <c r="J904" s="96"/>
      <c r="K904" s="107"/>
      <c r="L904" s="107"/>
      <c r="M904" s="102"/>
    </row>
    <row r="905" spans="1:13">
      <c r="A905" s="96"/>
      <c r="B905" s="97"/>
      <c r="C905" s="115"/>
      <c r="D905" s="115"/>
      <c r="E905" s="115"/>
      <c r="F905" s="105"/>
      <c r="G905" s="96"/>
      <c r="H905" s="97"/>
      <c r="I905" s="96"/>
      <c r="J905" s="96"/>
      <c r="K905" s="107"/>
      <c r="L905" s="107"/>
      <c r="M905" s="102"/>
    </row>
    <row r="906" spans="1:13">
      <c r="A906" s="96"/>
      <c r="B906" s="97"/>
      <c r="C906" s="115"/>
      <c r="D906" s="115"/>
      <c r="E906" s="115"/>
      <c r="F906" s="105"/>
      <c r="G906" s="96"/>
      <c r="H906" s="97"/>
      <c r="I906" s="96"/>
      <c r="J906" s="96"/>
      <c r="K906" s="107"/>
      <c r="L906" s="107"/>
      <c r="M906" s="102"/>
    </row>
    <row r="907" spans="1:13">
      <c r="A907" s="96"/>
      <c r="B907" s="97"/>
      <c r="C907" s="115"/>
      <c r="D907" s="115"/>
      <c r="E907" s="115"/>
      <c r="F907" s="105"/>
      <c r="G907" s="96"/>
      <c r="H907" s="97"/>
      <c r="I907" s="96"/>
      <c r="J907" s="96"/>
      <c r="K907" s="107"/>
      <c r="L907" s="107"/>
      <c r="M907" s="102"/>
    </row>
    <row r="908" spans="1:13">
      <c r="A908" s="96"/>
      <c r="B908" s="97"/>
      <c r="C908" s="115"/>
      <c r="D908" s="115"/>
      <c r="E908" s="115"/>
      <c r="F908" s="105"/>
      <c r="G908" s="96"/>
      <c r="H908" s="97"/>
      <c r="I908" s="96"/>
      <c r="J908" s="96"/>
      <c r="K908" s="107"/>
      <c r="L908" s="107"/>
      <c r="M908" s="102"/>
    </row>
    <row r="909" spans="1:13">
      <c r="A909" s="96"/>
      <c r="B909" s="97"/>
      <c r="C909" s="115"/>
      <c r="D909" s="115"/>
      <c r="E909" s="115"/>
      <c r="F909" s="105"/>
      <c r="G909" s="96"/>
      <c r="H909" s="97"/>
      <c r="I909" s="96"/>
      <c r="J909" s="96"/>
      <c r="K909" s="107"/>
      <c r="L909" s="107"/>
      <c r="M909" s="102"/>
    </row>
    <row r="910" spans="1:13">
      <c r="A910" s="96"/>
      <c r="B910" s="97"/>
      <c r="C910" s="115"/>
      <c r="D910" s="115"/>
      <c r="E910" s="115"/>
      <c r="F910" s="105"/>
      <c r="G910" s="96"/>
      <c r="H910" s="97"/>
      <c r="I910" s="96"/>
      <c r="J910" s="96"/>
      <c r="K910" s="107"/>
      <c r="L910" s="107"/>
      <c r="M910" s="102"/>
    </row>
    <row r="911" spans="1:13">
      <c r="A911" s="96"/>
      <c r="B911" s="97"/>
      <c r="C911" s="115"/>
      <c r="D911" s="115"/>
      <c r="E911" s="115"/>
      <c r="F911" s="105"/>
      <c r="G911" s="96"/>
      <c r="H911" s="97"/>
      <c r="I911" s="96"/>
      <c r="J911" s="96"/>
      <c r="K911" s="107"/>
      <c r="L911" s="107"/>
      <c r="M911" s="102"/>
    </row>
    <row r="912" spans="1:13">
      <c r="A912" s="96"/>
      <c r="B912" s="97"/>
      <c r="C912" s="115"/>
      <c r="D912" s="115"/>
      <c r="E912" s="115"/>
      <c r="F912" s="105"/>
      <c r="G912" s="96"/>
      <c r="H912" s="97"/>
      <c r="I912" s="96"/>
      <c r="J912" s="96"/>
      <c r="K912" s="107"/>
      <c r="L912" s="107"/>
      <c r="M912" s="102"/>
    </row>
    <row r="913" spans="1:13">
      <c r="A913" s="96"/>
      <c r="B913" s="97"/>
      <c r="C913" s="115"/>
      <c r="D913" s="115"/>
      <c r="E913" s="115"/>
      <c r="F913" s="105"/>
      <c r="G913" s="96"/>
      <c r="H913" s="97"/>
      <c r="I913" s="96"/>
      <c r="J913" s="96"/>
      <c r="K913" s="107"/>
      <c r="L913" s="107"/>
      <c r="M913" s="102"/>
    </row>
    <row r="914" spans="1:13">
      <c r="A914" s="96"/>
      <c r="B914" s="97"/>
      <c r="C914" s="115"/>
      <c r="D914" s="115"/>
      <c r="E914" s="115"/>
      <c r="F914" s="105"/>
      <c r="G914" s="96"/>
      <c r="H914" s="97"/>
      <c r="I914" s="96"/>
      <c r="J914" s="96"/>
      <c r="K914" s="107"/>
      <c r="L914" s="107"/>
      <c r="M914" s="102"/>
    </row>
    <row r="915" spans="1:13">
      <c r="A915" s="96"/>
      <c r="B915" s="97"/>
      <c r="C915" s="115"/>
      <c r="D915" s="115"/>
      <c r="E915" s="115"/>
      <c r="F915" s="105"/>
      <c r="G915" s="96"/>
      <c r="H915" s="97"/>
      <c r="I915" s="96"/>
      <c r="J915" s="96"/>
      <c r="K915" s="107"/>
      <c r="L915" s="107"/>
      <c r="M915" s="102"/>
    </row>
    <row r="916" spans="1:13">
      <c r="A916" s="96"/>
      <c r="B916" s="97"/>
      <c r="C916" s="115"/>
      <c r="D916" s="115"/>
      <c r="E916" s="115"/>
      <c r="F916" s="105"/>
      <c r="G916" s="96"/>
      <c r="H916" s="97"/>
      <c r="I916" s="96"/>
      <c r="J916" s="96"/>
      <c r="K916" s="107"/>
      <c r="L916" s="107"/>
      <c r="M916" s="102"/>
    </row>
    <row r="917" spans="1:13">
      <c r="A917" s="96"/>
      <c r="B917" s="97"/>
      <c r="C917" s="115"/>
      <c r="D917" s="115"/>
      <c r="E917" s="115"/>
      <c r="F917" s="105"/>
      <c r="G917" s="96"/>
      <c r="H917" s="97"/>
      <c r="I917" s="96"/>
      <c r="J917" s="96"/>
      <c r="K917" s="107"/>
      <c r="L917" s="107"/>
      <c r="M917" s="102"/>
    </row>
    <row r="918" spans="1:13">
      <c r="A918" s="96"/>
      <c r="B918" s="97"/>
      <c r="C918" s="115"/>
      <c r="D918" s="115"/>
      <c r="E918" s="115"/>
      <c r="F918" s="105"/>
      <c r="G918" s="96"/>
      <c r="H918" s="97"/>
      <c r="I918" s="96"/>
      <c r="J918" s="96"/>
      <c r="K918" s="107"/>
      <c r="L918" s="107"/>
      <c r="M918" s="102"/>
    </row>
    <row r="919" spans="1:13">
      <c r="A919" s="96"/>
      <c r="B919" s="97"/>
      <c r="C919" s="115"/>
      <c r="D919" s="115"/>
      <c r="E919" s="115"/>
      <c r="F919" s="105"/>
      <c r="G919" s="96"/>
      <c r="H919" s="97"/>
      <c r="I919" s="96"/>
      <c r="J919" s="96"/>
      <c r="K919" s="107"/>
      <c r="L919" s="107"/>
      <c r="M919" s="102"/>
    </row>
    <row r="920" spans="1:13">
      <c r="A920" s="96"/>
      <c r="B920" s="97"/>
      <c r="C920" s="115"/>
      <c r="D920" s="115"/>
      <c r="E920" s="115"/>
      <c r="F920" s="105"/>
      <c r="G920" s="96"/>
      <c r="H920" s="97"/>
      <c r="I920" s="96"/>
      <c r="J920" s="96"/>
      <c r="K920" s="107"/>
      <c r="L920" s="107"/>
      <c r="M920" s="102"/>
    </row>
    <row r="921" spans="1:13">
      <c r="A921" s="96"/>
      <c r="B921" s="97"/>
      <c r="C921" s="115"/>
      <c r="D921" s="115"/>
      <c r="E921" s="115"/>
      <c r="F921" s="105"/>
      <c r="G921" s="96"/>
      <c r="H921" s="97"/>
      <c r="I921" s="96"/>
      <c r="J921" s="96"/>
      <c r="K921" s="107"/>
      <c r="L921" s="107"/>
      <c r="M921" s="102"/>
    </row>
    <row r="922" spans="1:13">
      <c r="A922" s="96"/>
      <c r="B922" s="97"/>
      <c r="C922" s="115"/>
      <c r="D922" s="115"/>
      <c r="E922" s="115"/>
      <c r="F922" s="105"/>
      <c r="G922" s="96"/>
      <c r="H922" s="97"/>
      <c r="I922" s="96"/>
      <c r="J922" s="96"/>
      <c r="K922" s="107"/>
      <c r="L922" s="107"/>
      <c r="M922" s="102"/>
    </row>
    <row r="923" spans="1:13">
      <c r="A923" s="96"/>
      <c r="B923" s="97"/>
      <c r="C923" s="115"/>
      <c r="D923" s="115"/>
      <c r="E923" s="115"/>
      <c r="F923" s="105"/>
      <c r="G923" s="96"/>
      <c r="H923" s="97"/>
      <c r="I923" s="96"/>
      <c r="J923" s="96"/>
      <c r="K923" s="107"/>
      <c r="L923" s="107"/>
      <c r="M923" s="102"/>
    </row>
    <row r="924" spans="1:13">
      <c r="A924" s="96"/>
      <c r="B924" s="97"/>
      <c r="C924" s="115"/>
      <c r="D924" s="115"/>
      <c r="E924" s="115"/>
      <c r="F924" s="105"/>
      <c r="G924" s="96"/>
      <c r="H924" s="97"/>
      <c r="I924" s="96"/>
      <c r="J924" s="96"/>
      <c r="K924" s="107"/>
      <c r="L924" s="107"/>
      <c r="M924" s="102"/>
    </row>
    <row r="925" spans="1:13">
      <c r="A925" s="96"/>
      <c r="B925" s="97"/>
      <c r="C925" s="115"/>
      <c r="D925" s="115"/>
      <c r="E925" s="115"/>
      <c r="F925" s="105"/>
      <c r="G925" s="96"/>
      <c r="H925" s="97"/>
      <c r="I925" s="96"/>
      <c r="J925" s="96"/>
      <c r="K925" s="107"/>
      <c r="L925" s="107"/>
      <c r="M925" s="102"/>
    </row>
    <row r="926" spans="1:13">
      <c r="A926" s="96"/>
      <c r="B926" s="97"/>
      <c r="C926" s="115"/>
      <c r="D926" s="115"/>
      <c r="E926" s="115"/>
      <c r="F926" s="105"/>
      <c r="G926" s="96"/>
      <c r="H926" s="97"/>
      <c r="I926" s="96"/>
      <c r="J926" s="96"/>
      <c r="K926" s="107"/>
      <c r="L926" s="107"/>
      <c r="M926" s="102"/>
    </row>
    <row r="927" spans="1:13">
      <c r="A927" s="96"/>
      <c r="B927" s="97"/>
      <c r="C927" s="115"/>
      <c r="D927" s="115"/>
      <c r="E927" s="115"/>
      <c r="F927" s="105"/>
      <c r="G927" s="96"/>
      <c r="H927" s="97"/>
      <c r="I927" s="96"/>
      <c r="J927" s="96"/>
      <c r="K927" s="107"/>
      <c r="L927" s="107"/>
      <c r="M927" s="102"/>
    </row>
    <row r="928" spans="1:13">
      <c r="A928" s="96"/>
      <c r="B928" s="97"/>
      <c r="C928" s="115"/>
      <c r="D928" s="115"/>
      <c r="E928" s="115"/>
      <c r="F928" s="105"/>
      <c r="G928" s="96"/>
      <c r="H928" s="97"/>
      <c r="I928" s="96"/>
      <c r="J928" s="96"/>
      <c r="K928" s="107"/>
      <c r="L928" s="107"/>
      <c r="M928" s="102"/>
    </row>
    <row r="929" spans="1:13">
      <c r="A929" s="96"/>
      <c r="B929" s="97"/>
      <c r="C929" s="115"/>
      <c r="D929" s="115"/>
      <c r="E929" s="115"/>
      <c r="F929" s="105"/>
      <c r="G929" s="96"/>
      <c r="H929" s="97"/>
      <c r="I929" s="96"/>
      <c r="J929" s="96"/>
      <c r="K929" s="107"/>
      <c r="L929" s="107"/>
      <c r="M929" s="102"/>
    </row>
    <row r="930" spans="1:13">
      <c r="A930" s="96"/>
      <c r="B930" s="97"/>
      <c r="C930" s="115"/>
      <c r="D930" s="115"/>
      <c r="E930" s="115"/>
      <c r="F930" s="105"/>
      <c r="G930" s="96"/>
      <c r="H930" s="97"/>
      <c r="I930" s="96"/>
      <c r="J930" s="96"/>
      <c r="K930" s="107"/>
      <c r="L930" s="107"/>
      <c r="M930" s="102"/>
    </row>
    <row r="931" spans="1:13">
      <c r="A931" s="96"/>
      <c r="B931" s="97"/>
      <c r="C931" s="115"/>
      <c r="D931" s="115"/>
      <c r="E931" s="115"/>
      <c r="F931" s="105"/>
      <c r="G931" s="96"/>
      <c r="H931" s="97"/>
      <c r="I931" s="96"/>
      <c r="J931" s="96"/>
      <c r="K931" s="107"/>
      <c r="L931" s="107"/>
      <c r="M931" s="102"/>
    </row>
    <row r="932" spans="1:13">
      <c r="A932" s="96"/>
      <c r="B932" s="97"/>
      <c r="C932" s="115"/>
      <c r="D932" s="115"/>
      <c r="E932" s="115"/>
      <c r="F932" s="105"/>
      <c r="G932" s="96"/>
      <c r="H932" s="97"/>
      <c r="I932" s="96"/>
      <c r="J932" s="96"/>
      <c r="K932" s="107"/>
      <c r="L932" s="107"/>
      <c r="M932" s="102"/>
    </row>
    <row r="933" spans="1:13">
      <c r="A933" s="96"/>
      <c r="B933" s="97"/>
      <c r="C933" s="115"/>
      <c r="D933" s="115"/>
      <c r="E933" s="115"/>
      <c r="F933" s="105"/>
      <c r="G933" s="96"/>
      <c r="H933" s="97"/>
      <c r="I933" s="96"/>
      <c r="J933" s="96"/>
      <c r="K933" s="107"/>
      <c r="L933" s="107"/>
      <c r="M933" s="102"/>
    </row>
    <row r="934" spans="1:13">
      <c r="A934" s="96"/>
      <c r="B934" s="97"/>
      <c r="C934" s="115"/>
      <c r="D934" s="115"/>
      <c r="E934" s="115"/>
      <c r="F934" s="105"/>
      <c r="G934" s="96"/>
      <c r="H934" s="97"/>
      <c r="I934" s="96"/>
      <c r="J934" s="96"/>
      <c r="K934" s="107"/>
      <c r="L934" s="107"/>
      <c r="M934" s="102"/>
    </row>
    <row r="935" spans="1:13">
      <c r="A935" s="96"/>
      <c r="B935" s="97"/>
      <c r="C935" s="115"/>
      <c r="D935" s="115"/>
      <c r="E935" s="115"/>
      <c r="F935" s="105"/>
      <c r="G935" s="96"/>
      <c r="H935" s="97"/>
      <c r="I935" s="96"/>
      <c r="J935" s="96"/>
      <c r="K935" s="107"/>
      <c r="L935" s="107"/>
      <c r="M935" s="102"/>
    </row>
    <row r="936" spans="1:13">
      <c r="A936" s="96"/>
      <c r="B936" s="97"/>
      <c r="C936" s="115"/>
      <c r="D936" s="115"/>
      <c r="E936" s="115"/>
      <c r="F936" s="105"/>
      <c r="G936" s="96"/>
      <c r="H936" s="97"/>
      <c r="I936" s="96"/>
      <c r="J936" s="96"/>
      <c r="K936" s="107"/>
      <c r="L936" s="107"/>
      <c r="M936" s="102"/>
    </row>
    <row r="937" spans="1:13">
      <c r="A937" s="96"/>
      <c r="B937" s="97"/>
      <c r="C937" s="115"/>
      <c r="D937" s="115"/>
      <c r="E937" s="115"/>
      <c r="F937" s="105"/>
      <c r="G937" s="96"/>
      <c r="H937" s="97"/>
      <c r="I937" s="96"/>
      <c r="J937" s="96"/>
      <c r="K937" s="107"/>
      <c r="L937" s="107"/>
      <c r="M937" s="102"/>
    </row>
    <row r="938" spans="1:13">
      <c r="A938" s="96"/>
      <c r="B938" s="97"/>
      <c r="C938" s="115"/>
      <c r="D938" s="115"/>
      <c r="E938" s="115"/>
      <c r="F938" s="105"/>
      <c r="G938" s="96"/>
      <c r="H938" s="97"/>
      <c r="I938" s="96"/>
      <c r="J938" s="96"/>
      <c r="K938" s="107"/>
      <c r="L938" s="107"/>
      <c r="M938" s="102"/>
    </row>
    <row r="939" spans="1:13">
      <c r="A939" s="96"/>
      <c r="B939" s="97"/>
      <c r="C939" s="115"/>
      <c r="D939" s="115"/>
      <c r="E939" s="115"/>
      <c r="F939" s="105"/>
      <c r="G939" s="96"/>
      <c r="H939" s="97"/>
      <c r="I939" s="96"/>
      <c r="J939" s="96"/>
      <c r="K939" s="107"/>
      <c r="L939" s="107"/>
      <c r="M939" s="102"/>
    </row>
    <row r="940" spans="1:13">
      <c r="A940" s="96"/>
      <c r="B940" s="97"/>
      <c r="C940" s="115"/>
      <c r="D940" s="115"/>
      <c r="E940" s="115"/>
      <c r="F940" s="105"/>
      <c r="G940" s="96"/>
      <c r="H940" s="97"/>
      <c r="I940" s="96"/>
      <c r="J940" s="96"/>
      <c r="K940" s="107"/>
      <c r="L940" s="107"/>
      <c r="M940" s="102"/>
    </row>
    <row r="941" spans="1:13">
      <c r="A941" s="96"/>
      <c r="B941" s="97"/>
      <c r="C941" s="115"/>
      <c r="D941" s="115"/>
      <c r="E941" s="115"/>
      <c r="F941" s="105"/>
      <c r="G941" s="96"/>
      <c r="H941" s="97"/>
      <c r="I941" s="96"/>
      <c r="J941" s="96"/>
      <c r="K941" s="107"/>
      <c r="L941" s="107"/>
      <c r="M941" s="102"/>
    </row>
    <row r="942" spans="1:13">
      <c r="A942" s="96"/>
      <c r="B942" s="97"/>
      <c r="C942" s="115"/>
      <c r="D942" s="115"/>
      <c r="E942" s="115"/>
      <c r="F942" s="105"/>
      <c r="G942" s="96"/>
      <c r="H942" s="97"/>
      <c r="I942" s="96"/>
      <c r="J942" s="96"/>
      <c r="K942" s="107"/>
      <c r="L942" s="107"/>
      <c r="M942" s="102"/>
    </row>
    <row r="943" spans="1:13">
      <c r="A943" s="96"/>
      <c r="B943" s="97"/>
      <c r="C943" s="115"/>
      <c r="D943" s="115"/>
      <c r="E943" s="115"/>
      <c r="F943" s="105"/>
      <c r="G943" s="96"/>
      <c r="H943" s="97"/>
      <c r="I943" s="96"/>
      <c r="J943" s="96"/>
      <c r="K943" s="107"/>
      <c r="L943" s="107"/>
      <c r="M943" s="102"/>
    </row>
    <row r="944" spans="1:13">
      <c r="A944" s="96"/>
      <c r="B944" s="97"/>
      <c r="C944" s="115"/>
      <c r="D944" s="115"/>
      <c r="E944" s="115"/>
      <c r="F944" s="105"/>
      <c r="G944" s="96"/>
      <c r="H944" s="97"/>
      <c r="I944" s="96"/>
      <c r="J944" s="96"/>
      <c r="K944" s="107"/>
      <c r="L944" s="107"/>
      <c r="M944" s="102"/>
    </row>
    <row r="945" spans="1:13">
      <c r="A945" s="96"/>
      <c r="B945" s="97"/>
      <c r="C945" s="115"/>
      <c r="D945" s="115"/>
      <c r="E945" s="115"/>
      <c r="F945" s="105"/>
      <c r="G945" s="96"/>
      <c r="H945" s="97"/>
      <c r="I945" s="96"/>
      <c r="J945" s="96"/>
      <c r="K945" s="107"/>
      <c r="L945" s="107"/>
      <c r="M945" s="102"/>
    </row>
    <row r="946" spans="1:13">
      <c r="A946" s="96"/>
      <c r="B946" s="97"/>
      <c r="C946" s="115"/>
      <c r="D946" s="115"/>
      <c r="E946" s="115"/>
      <c r="F946" s="105"/>
      <c r="G946" s="96"/>
      <c r="H946" s="97"/>
      <c r="I946" s="96"/>
      <c r="J946" s="96"/>
      <c r="K946" s="107"/>
      <c r="L946" s="107"/>
      <c r="M946" s="102"/>
    </row>
    <row r="947" spans="1:13">
      <c r="A947" s="96"/>
      <c r="B947" s="97"/>
      <c r="C947" s="115"/>
      <c r="D947" s="115"/>
      <c r="E947" s="115"/>
      <c r="F947" s="105"/>
      <c r="G947" s="96"/>
      <c r="H947" s="97"/>
      <c r="I947" s="96"/>
      <c r="J947" s="96"/>
      <c r="K947" s="107"/>
      <c r="L947" s="107"/>
      <c r="M947" s="102"/>
    </row>
    <row r="948" spans="1:13">
      <c r="A948" s="96"/>
      <c r="B948" s="97"/>
      <c r="C948" s="115"/>
      <c r="D948" s="115"/>
      <c r="E948" s="115"/>
      <c r="F948" s="105"/>
      <c r="G948" s="96"/>
      <c r="H948" s="97"/>
      <c r="I948" s="96"/>
      <c r="J948" s="96"/>
      <c r="K948" s="107"/>
      <c r="L948" s="107"/>
      <c r="M948" s="102"/>
    </row>
    <row r="949" spans="1:13">
      <c r="A949" s="96"/>
      <c r="B949" s="97"/>
      <c r="C949" s="115"/>
      <c r="D949" s="115"/>
      <c r="E949" s="115"/>
      <c r="F949" s="105"/>
      <c r="G949" s="96"/>
      <c r="H949" s="97"/>
      <c r="I949" s="96"/>
      <c r="J949" s="96"/>
      <c r="K949" s="107"/>
      <c r="L949" s="107"/>
      <c r="M949" s="102"/>
    </row>
    <row r="950" spans="1:13">
      <c r="A950" s="96"/>
      <c r="B950" s="97"/>
      <c r="C950" s="115"/>
      <c r="D950" s="115"/>
      <c r="E950" s="115"/>
      <c r="F950" s="105"/>
      <c r="G950" s="96"/>
      <c r="H950" s="97"/>
      <c r="I950" s="96"/>
      <c r="J950" s="96"/>
      <c r="K950" s="107"/>
      <c r="L950" s="107"/>
      <c r="M950" s="102"/>
    </row>
    <row r="951" spans="1:13">
      <c r="A951" s="96"/>
      <c r="B951" s="97"/>
      <c r="C951" s="115"/>
      <c r="D951" s="115"/>
      <c r="E951" s="115"/>
      <c r="F951" s="105"/>
      <c r="G951" s="96"/>
      <c r="H951" s="97"/>
      <c r="I951" s="96"/>
      <c r="J951" s="96"/>
      <c r="K951" s="107"/>
      <c r="L951" s="107"/>
      <c r="M951" s="102"/>
    </row>
    <row r="952" spans="1:13">
      <c r="A952" s="96"/>
      <c r="B952" s="97"/>
      <c r="C952" s="115"/>
      <c r="D952" s="115"/>
      <c r="E952" s="115"/>
      <c r="F952" s="105"/>
      <c r="G952" s="96"/>
      <c r="H952" s="97"/>
      <c r="I952" s="96"/>
      <c r="J952" s="96"/>
      <c r="K952" s="107"/>
      <c r="L952" s="107"/>
      <c r="M952" s="102"/>
    </row>
    <row r="953" spans="1:13">
      <c r="A953" s="96"/>
      <c r="B953" s="97"/>
      <c r="C953" s="115"/>
      <c r="D953" s="115"/>
      <c r="E953" s="115"/>
      <c r="F953" s="105"/>
      <c r="G953" s="96"/>
      <c r="H953" s="97"/>
      <c r="I953" s="96"/>
      <c r="J953" s="96"/>
      <c r="K953" s="107"/>
      <c r="L953" s="107"/>
      <c r="M953" s="102"/>
    </row>
    <row r="954" spans="1:13">
      <c r="A954" s="96"/>
      <c r="B954" s="97"/>
      <c r="C954" s="115"/>
      <c r="D954" s="115"/>
      <c r="E954" s="115"/>
      <c r="F954" s="105"/>
      <c r="G954" s="96"/>
      <c r="H954" s="97"/>
      <c r="I954" s="96"/>
      <c r="J954" s="96"/>
      <c r="K954" s="107"/>
      <c r="L954" s="107"/>
      <c r="M954" s="102"/>
    </row>
    <row r="955" spans="1:13">
      <c r="A955" s="96"/>
      <c r="B955" s="97"/>
      <c r="C955" s="115"/>
      <c r="D955" s="115"/>
      <c r="E955" s="115"/>
      <c r="F955" s="105"/>
      <c r="G955" s="96"/>
      <c r="H955" s="97"/>
      <c r="I955" s="96"/>
      <c r="J955" s="96"/>
      <c r="K955" s="107"/>
      <c r="L955" s="107"/>
      <c r="M955" s="102"/>
    </row>
    <row r="956" spans="1:13">
      <c r="A956" s="96"/>
      <c r="B956" s="97"/>
      <c r="C956" s="115"/>
      <c r="D956" s="115"/>
      <c r="E956" s="115"/>
      <c r="F956" s="105"/>
      <c r="G956" s="96"/>
      <c r="H956" s="97"/>
      <c r="I956" s="96"/>
      <c r="J956" s="96"/>
      <c r="K956" s="107"/>
      <c r="L956" s="107"/>
      <c r="M956" s="102"/>
    </row>
    <row r="957" spans="1:13">
      <c r="A957" s="96"/>
      <c r="B957" s="97"/>
      <c r="C957" s="115"/>
      <c r="D957" s="115"/>
      <c r="E957" s="115"/>
      <c r="F957" s="105"/>
      <c r="G957" s="96"/>
      <c r="H957" s="97"/>
      <c r="I957" s="96"/>
      <c r="J957" s="96"/>
      <c r="K957" s="107"/>
      <c r="L957" s="107"/>
      <c r="M957" s="102"/>
    </row>
    <row r="958" spans="1:13">
      <c r="A958" s="96"/>
      <c r="B958" s="97"/>
      <c r="C958" s="115"/>
      <c r="D958" s="115"/>
      <c r="E958" s="115"/>
      <c r="F958" s="105"/>
      <c r="G958" s="96"/>
      <c r="H958" s="97"/>
      <c r="I958" s="96"/>
      <c r="J958" s="96"/>
      <c r="K958" s="107"/>
      <c r="L958" s="107"/>
      <c r="M958" s="102"/>
    </row>
    <row r="959" spans="1:13">
      <c r="A959" s="96"/>
      <c r="B959" s="97"/>
      <c r="C959" s="115"/>
      <c r="D959" s="115"/>
      <c r="E959" s="115"/>
      <c r="F959" s="105"/>
      <c r="G959" s="96"/>
      <c r="H959" s="97"/>
      <c r="I959" s="96"/>
      <c r="J959" s="96"/>
      <c r="K959" s="107"/>
      <c r="L959" s="107"/>
      <c r="M959" s="102"/>
    </row>
    <row r="960" spans="1:13">
      <c r="A960" s="96"/>
      <c r="B960" s="97"/>
      <c r="C960" s="115"/>
      <c r="D960" s="115"/>
      <c r="E960" s="115"/>
      <c r="F960" s="105"/>
      <c r="G960" s="96"/>
      <c r="H960" s="97"/>
      <c r="I960" s="96"/>
      <c r="J960" s="96"/>
      <c r="K960" s="107"/>
      <c r="L960" s="107"/>
      <c r="M960" s="102"/>
    </row>
    <row r="961" spans="1:13">
      <c r="A961" s="96"/>
      <c r="B961" s="97"/>
      <c r="C961" s="115"/>
      <c r="D961" s="115"/>
      <c r="E961" s="115"/>
      <c r="F961" s="105"/>
      <c r="G961" s="96"/>
      <c r="H961" s="97"/>
      <c r="I961" s="96"/>
      <c r="J961" s="96"/>
      <c r="K961" s="107"/>
      <c r="L961" s="107"/>
      <c r="M961" s="102"/>
    </row>
    <row r="962" spans="1:13">
      <c r="A962" s="96"/>
      <c r="B962" s="97"/>
      <c r="C962" s="115"/>
      <c r="D962" s="115"/>
      <c r="E962" s="115"/>
      <c r="F962" s="105"/>
      <c r="G962" s="96"/>
      <c r="H962" s="97"/>
      <c r="I962" s="96"/>
      <c r="J962" s="96"/>
      <c r="K962" s="107"/>
      <c r="L962" s="107"/>
      <c r="M962" s="102"/>
    </row>
    <row r="963" spans="1:13">
      <c r="A963" s="96"/>
      <c r="B963" s="97"/>
      <c r="C963" s="115"/>
      <c r="D963" s="115"/>
      <c r="E963" s="115"/>
      <c r="F963" s="105"/>
      <c r="G963" s="96"/>
      <c r="H963" s="97"/>
      <c r="I963" s="96"/>
      <c r="J963" s="96"/>
      <c r="K963" s="107"/>
      <c r="L963" s="107"/>
      <c r="M963" s="102"/>
    </row>
    <row r="964" spans="1:13">
      <c r="A964" s="96"/>
      <c r="B964" s="97"/>
      <c r="C964" s="115"/>
      <c r="D964" s="115"/>
      <c r="E964" s="115"/>
      <c r="F964" s="105"/>
      <c r="G964" s="96"/>
      <c r="H964" s="97"/>
      <c r="I964" s="96"/>
      <c r="J964" s="96"/>
      <c r="K964" s="107"/>
      <c r="L964" s="107"/>
      <c r="M964" s="102"/>
    </row>
    <row r="965" spans="1:13">
      <c r="A965" s="96"/>
      <c r="B965" s="97"/>
      <c r="C965" s="115"/>
      <c r="D965" s="115"/>
      <c r="E965" s="115"/>
      <c r="F965" s="105"/>
      <c r="G965" s="96"/>
      <c r="H965" s="97"/>
      <c r="I965" s="96"/>
      <c r="J965" s="96"/>
      <c r="K965" s="107"/>
      <c r="L965" s="107"/>
      <c r="M965" s="102"/>
    </row>
    <row r="966" spans="1:13">
      <c r="A966" s="96"/>
      <c r="B966" s="97"/>
      <c r="C966" s="115"/>
      <c r="D966" s="115"/>
      <c r="E966" s="115"/>
      <c r="F966" s="105"/>
      <c r="G966" s="96"/>
      <c r="H966" s="97"/>
      <c r="I966" s="96"/>
      <c r="J966" s="96"/>
      <c r="K966" s="107"/>
      <c r="L966" s="107"/>
      <c r="M966" s="102"/>
    </row>
    <row r="967" spans="1:13">
      <c r="A967" s="96"/>
      <c r="B967" s="97"/>
      <c r="C967" s="115"/>
      <c r="D967" s="115"/>
      <c r="E967" s="115"/>
      <c r="F967" s="105"/>
      <c r="G967" s="96"/>
      <c r="H967" s="97"/>
      <c r="I967" s="96"/>
      <c r="J967" s="96"/>
      <c r="K967" s="107"/>
      <c r="L967" s="107"/>
      <c r="M967" s="102"/>
    </row>
    <row r="968" spans="1:13">
      <c r="A968" s="96"/>
      <c r="B968" s="97"/>
      <c r="C968" s="115"/>
      <c r="D968" s="115"/>
      <c r="E968" s="115"/>
      <c r="F968" s="105"/>
      <c r="G968" s="96"/>
      <c r="H968" s="97"/>
      <c r="I968" s="96"/>
      <c r="J968" s="96"/>
      <c r="K968" s="107"/>
      <c r="L968" s="107"/>
      <c r="M968" s="102"/>
    </row>
    <row r="969" spans="1:13">
      <c r="A969" s="96"/>
      <c r="B969" s="97"/>
      <c r="C969" s="115"/>
      <c r="D969" s="115"/>
      <c r="E969" s="115"/>
      <c r="F969" s="105"/>
      <c r="G969" s="96"/>
      <c r="H969" s="97"/>
      <c r="I969" s="96"/>
      <c r="J969" s="96"/>
      <c r="K969" s="107"/>
      <c r="L969" s="107"/>
      <c r="M969" s="102"/>
    </row>
    <row r="970" spans="1:13">
      <c r="A970" s="96"/>
      <c r="B970" s="97"/>
      <c r="C970" s="115"/>
      <c r="D970" s="115"/>
      <c r="E970" s="115"/>
      <c r="F970" s="105"/>
      <c r="G970" s="96"/>
      <c r="H970" s="97"/>
      <c r="I970" s="96"/>
      <c r="J970" s="96"/>
      <c r="K970" s="107"/>
      <c r="L970" s="107"/>
      <c r="M970" s="102"/>
    </row>
    <row r="971" spans="1:13">
      <c r="A971" s="96"/>
      <c r="B971" s="97"/>
      <c r="C971" s="115"/>
      <c r="D971" s="115"/>
      <c r="E971" s="115"/>
      <c r="F971" s="105"/>
      <c r="G971" s="96"/>
      <c r="H971" s="97"/>
      <c r="I971" s="96"/>
      <c r="J971" s="96"/>
      <c r="K971" s="107"/>
      <c r="L971" s="107"/>
      <c r="M971" s="102"/>
    </row>
    <row r="972" spans="1:13">
      <c r="A972" s="96"/>
      <c r="B972" s="97"/>
      <c r="C972" s="115"/>
      <c r="D972" s="115"/>
      <c r="E972" s="115"/>
      <c r="F972" s="105"/>
      <c r="G972" s="96"/>
      <c r="H972" s="97"/>
      <c r="I972" s="96"/>
      <c r="J972" s="96"/>
      <c r="K972" s="107"/>
      <c r="L972" s="107"/>
      <c r="M972" s="102"/>
    </row>
    <row r="973" spans="1:13">
      <c r="A973" s="96"/>
      <c r="B973" s="97"/>
      <c r="C973" s="115"/>
      <c r="D973" s="115"/>
      <c r="E973" s="115"/>
      <c r="F973" s="105"/>
      <c r="G973" s="96"/>
      <c r="H973" s="97"/>
      <c r="I973" s="96"/>
      <c r="J973" s="96"/>
      <c r="K973" s="107"/>
      <c r="L973" s="107"/>
      <c r="M973" s="102"/>
    </row>
    <row r="974" spans="1:13">
      <c r="A974" s="96"/>
      <c r="B974" s="97"/>
      <c r="C974" s="115"/>
      <c r="D974" s="115"/>
      <c r="E974" s="115"/>
      <c r="F974" s="105"/>
      <c r="G974" s="96"/>
      <c r="H974" s="97"/>
      <c r="I974" s="96"/>
      <c r="J974" s="96"/>
      <c r="K974" s="107"/>
      <c r="L974" s="107"/>
      <c r="M974" s="102"/>
    </row>
    <row r="975" spans="1:13">
      <c r="A975" s="96"/>
      <c r="B975" s="97"/>
      <c r="C975" s="115"/>
      <c r="D975" s="115"/>
      <c r="E975" s="115"/>
      <c r="F975" s="105"/>
      <c r="G975" s="96"/>
      <c r="H975" s="97"/>
      <c r="I975" s="96"/>
      <c r="J975" s="96"/>
      <c r="K975" s="107"/>
      <c r="L975" s="107"/>
      <c r="M975" s="102"/>
    </row>
    <row r="976" spans="1:13">
      <c r="A976" s="96"/>
      <c r="B976" s="97"/>
      <c r="C976" s="115"/>
      <c r="D976" s="115"/>
      <c r="E976" s="115"/>
      <c r="F976" s="105"/>
      <c r="G976" s="96"/>
      <c r="H976" s="97"/>
      <c r="I976" s="96"/>
      <c r="J976" s="96"/>
      <c r="K976" s="107"/>
      <c r="L976" s="107"/>
      <c r="M976" s="102"/>
    </row>
    <row r="977" spans="1:13">
      <c r="A977" s="96"/>
      <c r="B977" s="97"/>
      <c r="C977" s="115"/>
      <c r="D977" s="115"/>
      <c r="E977" s="115"/>
      <c r="F977" s="105"/>
      <c r="G977" s="96"/>
      <c r="H977" s="97"/>
      <c r="I977" s="96"/>
      <c r="J977" s="96"/>
      <c r="K977" s="107"/>
      <c r="L977" s="107"/>
      <c r="M977" s="102"/>
    </row>
    <row r="978" spans="1:13">
      <c r="A978" s="96"/>
      <c r="B978" s="97"/>
      <c r="C978" s="115"/>
      <c r="D978" s="115"/>
      <c r="E978" s="115"/>
      <c r="F978" s="105"/>
      <c r="G978" s="96"/>
      <c r="H978" s="97"/>
      <c r="I978" s="96"/>
      <c r="J978" s="96"/>
      <c r="K978" s="107"/>
      <c r="L978" s="107"/>
      <c r="M978" s="102"/>
    </row>
    <row r="979" spans="1:13">
      <c r="A979" s="96"/>
      <c r="B979" s="97"/>
      <c r="C979" s="115"/>
      <c r="D979" s="115"/>
      <c r="E979" s="115"/>
      <c r="F979" s="105"/>
      <c r="G979" s="96"/>
      <c r="H979" s="97"/>
      <c r="I979" s="96"/>
      <c r="J979" s="96"/>
      <c r="K979" s="107"/>
      <c r="L979" s="107"/>
      <c r="M979" s="102"/>
    </row>
    <row r="980" spans="1:13">
      <c r="A980" s="96"/>
      <c r="B980" s="97"/>
      <c r="C980" s="115"/>
      <c r="D980" s="115"/>
      <c r="E980" s="115"/>
      <c r="F980" s="105"/>
      <c r="G980" s="96"/>
      <c r="H980" s="97"/>
      <c r="I980" s="96"/>
      <c r="J980" s="96"/>
      <c r="K980" s="107"/>
      <c r="L980" s="107"/>
      <c r="M980" s="102"/>
    </row>
    <row r="981" spans="1:13">
      <c r="A981" s="96"/>
      <c r="B981" s="97"/>
      <c r="C981" s="115"/>
      <c r="D981" s="115"/>
      <c r="E981" s="115"/>
      <c r="F981" s="105"/>
      <c r="G981" s="96"/>
      <c r="H981" s="97"/>
      <c r="I981" s="96"/>
      <c r="J981" s="96"/>
      <c r="K981" s="107"/>
      <c r="L981" s="107"/>
      <c r="M981" s="102"/>
    </row>
    <row r="982" spans="1:13">
      <c r="A982" s="96"/>
      <c r="B982" s="97"/>
      <c r="C982" s="115"/>
      <c r="D982" s="115"/>
      <c r="E982" s="115"/>
      <c r="F982" s="105"/>
      <c r="G982" s="96"/>
      <c r="H982" s="97"/>
      <c r="I982" s="96"/>
      <c r="J982" s="96"/>
      <c r="K982" s="107"/>
      <c r="L982" s="107"/>
      <c r="M982" s="102"/>
    </row>
    <row r="983" spans="1:13">
      <c r="A983" s="96"/>
      <c r="B983" s="97"/>
      <c r="C983" s="115"/>
      <c r="D983" s="115"/>
      <c r="E983" s="115"/>
      <c r="F983" s="105"/>
      <c r="G983" s="96"/>
      <c r="H983" s="97"/>
      <c r="I983" s="96"/>
      <c r="J983" s="96"/>
      <c r="K983" s="107"/>
      <c r="L983" s="107"/>
      <c r="M983" s="102"/>
    </row>
    <row r="984" spans="1:13">
      <c r="A984" s="96"/>
      <c r="B984" s="97"/>
      <c r="C984" s="115"/>
      <c r="D984" s="115"/>
      <c r="E984" s="115"/>
      <c r="F984" s="105"/>
      <c r="G984" s="96"/>
      <c r="H984" s="97"/>
      <c r="I984" s="96"/>
      <c r="J984" s="96"/>
      <c r="K984" s="107"/>
      <c r="L984" s="107"/>
      <c r="M984" s="102"/>
    </row>
    <row r="985" spans="1:13">
      <c r="A985" s="96"/>
      <c r="B985" s="97"/>
      <c r="C985" s="115"/>
      <c r="D985" s="115"/>
      <c r="E985" s="115"/>
      <c r="F985" s="105"/>
      <c r="G985" s="96"/>
      <c r="H985" s="97"/>
      <c r="I985" s="96"/>
      <c r="J985" s="96"/>
      <c r="K985" s="107"/>
      <c r="L985" s="107"/>
      <c r="M985" s="102"/>
    </row>
    <row r="986" spans="1:13">
      <c r="A986" s="96"/>
      <c r="B986" s="97"/>
      <c r="C986" s="115"/>
      <c r="D986" s="115"/>
      <c r="E986" s="115"/>
      <c r="F986" s="105"/>
      <c r="G986" s="96"/>
      <c r="H986" s="97"/>
      <c r="I986" s="96"/>
      <c r="J986" s="96"/>
      <c r="K986" s="107"/>
      <c r="L986" s="107"/>
      <c r="M986" s="102"/>
    </row>
    <row r="987" spans="1:13">
      <c r="A987" s="96"/>
      <c r="B987" s="97"/>
      <c r="C987" s="115"/>
      <c r="D987" s="115"/>
      <c r="E987" s="115"/>
      <c r="F987" s="105"/>
      <c r="G987" s="96"/>
      <c r="H987" s="97"/>
      <c r="I987" s="96"/>
      <c r="J987" s="96"/>
      <c r="K987" s="107"/>
      <c r="L987" s="107"/>
      <c r="M987" s="102"/>
    </row>
    <row r="988" spans="1:13">
      <c r="A988" s="96"/>
      <c r="B988" s="97"/>
      <c r="C988" s="115"/>
      <c r="D988" s="115"/>
      <c r="E988" s="115"/>
      <c r="F988" s="105"/>
      <c r="G988" s="96"/>
      <c r="H988" s="97"/>
      <c r="I988" s="96"/>
      <c r="J988" s="96"/>
      <c r="K988" s="107"/>
      <c r="L988" s="107"/>
      <c r="M988" s="102"/>
    </row>
    <row r="989" spans="1:13">
      <c r="A989" s="96"/>
      <c r="B989" s="97"/>
      <c r="C989" s="115"/>
      <c r="D989" s="115"/>
      <c r="E989" s="115"/>
      <c r="F989" s="105"/>
      <c r="G989" s="96"/>
      <c r="H989" s="97"/>
      <c r="I989" s="96"/>
      <c r="J989" s="96"/>
      <c r="K989" s="107"/>
      <c r="L989" s="107"/>
      <c r="M989" s="102"/>
    </row>
    <row r="990" spans="1:13">
      <c r="A990" s="96"/>
      <c r="B990" s="97"/>
      <c r="C990" s="115"/>
      <c r="D990" s="115"/>
      <c r="E990" s="115"/>
      <c r="F990" s="105"/>
      <c r="G990" s="96"/>
      <c r="H990" s="97"/>
      <c r="I990" s="96"/>
      <c r="J990" s="96"/>
      <c r="K990" s="107"/>
      <c r="L990" s="107"/>
      <c r="M990" s="102"/>
    </row>
    <row r="991" spans="1:13">
      <c r="A991" s="96"/>
      <c r="B991" s="97"/>
      <c r="C991" s="115"/>
      <c r="D991" s="115"/>
      <c r="E991" s="115"/>
      <c r="F991" s="105"/>
      <c r="G991" s="96"/>
      <c r="H991" s="97"/>
      <c r="I991" s="96"/>
      <c r="J991" s="96"/>
      <c r="K991" s="107"/>
      <c r="L991" s="107"/>
      <c r="M991" s="102"/>
    </row>
    <row r="992" spans="1:13">
      <c r="A992" s="96"/>
      <c r="B992" s="97"/>
      <c r="C992" s="115"/>
      <c r="D992" s="115"/>
      <c r="E992" s="115"/>
      <c r="F992" s="105"/>
      <c r="G992" s="96"/>
      <c r="H992" s="97"/>
      <c r="I992" s="96"/>
      <c r="J992" s="96"/>
      <c r="K992" s="107"/>
      <c r="L992" s="107"/>
      <c r="M992" s="102"/>
    </row>
    <row r="993" spans="1:13">
      <c r="A993" s="96"/>
      <c r="B993" s="97"/>
      <c r="C993" s="115"/>
      <c r="D993" s="115"/>
      <c r="E993" s="115"/>
      <c r="F993" s="105"/>
      <c r="G993" s="96"/>
      <c r="H993" s="97"/>
      <c r="I993" s="96"/>
      <c r="J993" s="96"/>
      <c r="K993" s="107"/>
      <c r="L993" s="107"/>
      <c r="M993" s="102"/>
    </row>
    <row r="994" spans="1:13">
      <c r="A994" s="96"/>
      <c r="B994" s="97"/>
      <c r="C994" s="115"/>
      <c r="D994" s="115"/>
      <c r="E994" s="115"/>
      <c r="F994" s="105"/>
      <c r="G994" s="96"/>
      <c r="H994" s="97"/>
      <c r="I994" s="96"/>
      <c r="J994" s="96"/>
      <c r="K994" s="107"/>
      <c r="L994" s="107"/>
      <c r="M994" s="102"/>
    </row>
    <row r="995" spans="1:13">
      <c r="A995" s="96"/>
      <c r="B995" s="97"/>
      <c r="C995" s="115"/>
      <c r="D995" s="115"/>
      <c r="E995" s="115"/>
      <c r="F995" s="105"/>
      <c r="G995" s="96"/>
      <c r="H995" s="97"/>
      <c r="I995" s="96"/>
      <c r="J995" s="96"/>
      <c r="K995" s="107"/>
      <c r="L995" s="107"/>
      <c r="M995" s="102"/>
    </row>
    <row r="996" spans="1:13">
      <c r="A996" s="96"/>
      <c r="B996" s="97"/>
      <c r="C996" s="115"/>
      <c r="D996" s="115"/>
      <c r="E996" s="115"/>
      <c r="F996" s="105"/>
      <c r="G996" s="96"/>
      <c r="H996" s="97"/>
      <c r="I996" s="96"/>
      <c r="J996" s="96"/>
      <c r="K996" s="107"/>
      <c r="L996" s="107"/>
      <c r="M996" s="102"/>
    </row>
    <row r="997" spans="1:13">
      <c r="A997" s="96"/>
      <c r="B997" s="97"/>
      <c r="C997" s="115"/>
      <c r="D997" s="115"/>
      <c r="E997" s="115"/>
      <c r="F997" s="105"/>
      <c r="G997" s="96"/>
      <c r="H997" s="97"/>
      <c r="I997" s="96"/>
      <c r="J997" s="96"/>
      <c r="K997" s="107"/>
      <c r="L997" s="107"/>
      <c r="M997" s="102"/>
    </row>
    <row r="998" spans="1:13">
      <c r="A998" s="96"/>
      <c r="B998" s="97"/>
      <c r="C998" s="115"/>
      <c r="D998" s="115"/>
      <c r="E998" s="115"/>
      <c r="F998" s="105"/>
      <c r="G998" s="96"/>
      <c r="H998" s="97"/>
      <c r="I998" s="96"/>
      <c r="J998" s="96"/>
      <c r="K998" s="107"/>
      <c r="L998" s="107"/>
      <c r="M998" s="102"/>
    </row>
    <row r="999" spans="1:13">
      <c r="A999" s="96"/>
      <c r="B999" s="97"/>
      <c r="C999" s="115"/>
      <c r="D999" s="115"/>
      <c r="E999" s="115"/>
      <c r="F999" s="105"/>
      <c r="G999" s="96"/>
      <c r="H999" s="97"/>
      <c r="I999" s="96"/>
      <c r="J999" s="96"/>
      <c r="K999" s="107"/>
      <c r="L999" s="107"/>
      <c r="M999" s="102"/>
    </row>
    <row r="1000" spans="1:13">
      <c r="A1000" s="96"/>
      <c r="B1000" s="97"/>
      <c r="C1000" s="115"/>
      <c r="D1000" s="115"/>
      <c r="E1000" s="115"/>
      <c r="F1000" s="105"/>
      <c r="G1000" s="96"/>
      <c r="H1000" s="97"/>
      <c r="I1000" s="96"/>
      <c r="J1000" s="96"/>
      <c r="K1000" s="107"/>
      <c r="L1000" s="107"/>
      <c r="M1000" s="102"/>
    </row>
    <row r="1001" spans="1:13">
      <c r="A1001" s="96"/>
      <c r="B1001" s="97"/>
      <c r="C1001" s="115"/>
      <c r="D1001" s="115"/>
      <c r="E1001" s="115"/>
      <c r="F1001" s="105"/>
      <c r="G1001" s="96"/>
      <c r="H1001" s="97"/>
      <c r="I1001" s="96"/>
      <c r="J1001" s="96"/>
      <c r="K1001" s="107"/>
      <c r="L1001" s="107"/>
      <c r="M1001" s="102"/>
    </row>
    <row r="1002" spans="1:13">
      <c r="A1002" s="96"/>
      <c r="B1002" s="97"/>
      <c r="C1002" s="115"/>
      <c r="D1002" s="115"/>
      <c r="E1002" s="115"/>
      <c r="F1002" s="105"/>
      <c r="G1002" s="96"/>
      <c r="H1002" s="97"/>
      <c r="I1002" s="96"/>
      <c r="J1002" s="96"/>
      <c r="K1002" s="107"/>
      <c r="L1002" s="107"/>
      <c r="M1002" s="102"/>
    </row>
    <row r="1003" spans="1:13">
      <c r="A1003" s="96"/>
      <c r="B1003" s="97"/>
      <c r="C1003" s="115"/>
      <c r="D1003" s="115"/>
      <c r="E1003" s="115"/>
      <c r="F1003" s="105"/>
      <c r="G1003" s="96"/>
      <c r="H1003" s="97"/>
      <c r="I1003" s="96"/>
      <c r="J1003" s="96"/>
      <c r="K1003" s="107"/>
      <c r="L1003" s="107"/>
      <c r="M1003" s="102"/>
    </row>
    <row r="1004" spans="1:13">
      <c r="A1004" s="96"/>
      <c r="B1004" s="97"/>
      <c r="C1004" s="115"/>
      <c r="D1004" s="115"/>
      <c r="E1004" s="115"/>
      <c r="F1004" s="105"/>
      <c r="G1004" s="96"/>
      <c r="H1004" s="97"/>
      <c r="I1004" s="96"/>
      <c r="J1004" s="96"/>
      <c r="K1004" s="107"/>
      <c r="L1004" s="107"/>
      <c r="M1004" s="102"/>
    </row>
    <row r="1005" spans="1:13">
      <c r="A1005" s="96"/>
      <c r="B1005" s="97"/>
      <c r="C1005" s="115"/>
      <c r="D1005" s="115"/>
      <c r="E1005" s="115"/>
      <c r="F1005" s="105"/>
      <c r="G1005" s="96"/>
      <c r="H1005" s="97"/>
      <c r="I1005" s="96"/>
      <c r="J1005" s="96"/>
      <c r="K1005" s="107"/>
      <c r="L1005" s="107"/>
      <c r="M1005" s="102"/>
    </row>
    <row r="1006" spans="1:13">
      <c r="A1006" s="96"/>
      <c r="B1006" s="97"/>
      <c r="C1006" s="115"/>
      <c r="D1006" s="115"/>
      <c r="E1006" s="115"/>
      <c r="F1006" s="105"/>
      <c r="G1006" s="96"/>
      <c r="H1006" s="97"/>
      <c r="I1006" s="96"/>
      <c r="J1006" s="96"/>
      <c r="K1006" s="107"/>
      <c r="L1006" s="107"/>
      <c r="M1006" s="102"/>
    </row>
    <row r="1007" spans="1:13">
      <c r="A1007" s="96"/>
      <c r="B1007" s="97"/>
      <c r="C1007" s="115"/>
      <c r="D1007" s="115"/>
      <c r="E1007" s="115"/>
      <c r="F1007" s="105"/>
      <c r="G1007" s="96"/>
      <c r="H1007" s="97"/>
      <c r="I1007" s="96"/>
      <c r="J1007" s="96"/>
      <c r="K1007" s="107"/>
      <c r="L1007" s="107"/>
      <c r="M1007" s="102"/>
    </row>
    <row r="1008" spans="1:13">
      <c r="A1008" s="96"/>
      <c r="B1008" s="97"/>
      <c r="C1008" s="115"/>
      <c r="D1008" s="115"/>
      <c r="E1008" s="115"/>
      <c r="F1008" s="105"/>
      <c r="G1008" s="96"/>
      <c r="H1008" s="97"/>
      <c r="I1008" s="96"/>
      <c r="J1008" s="96"/>
      <c r="K1008" s="107"/>
      <c r="L1008" s="107"/>
      <c r="M1008" s="102"/>
    </row>
    <row r="1009" spans="1:13">
      <c r="A1009" s="96"/>
      <c r="B1009" s="97"/>
      <c r="C1009" s="115"/>
      <c r="D1009" s="115"/>
      <c r="E1009" s="115"/>
      <c r="F1009" s="105"/>
      <c r="G1009" s="96"/>
      <c r="H1009" s="97"/>
      <c r="I1009" s="96"/>
      <c r="J1009" s="96"/>
      <c r="K1009" s="107"/>
      <c r="L1009" s="107"/>
      <c r="M1009" s="102"/>
    </row>
    <row r="1010" spans="1:13">
      <c r="A1010" s="96"/>
      <c r="B1010" s="97"/>
      <c r="C1010" s="115"/>
      <c r="D1010" s="115"/>
      <c r="E1010" s="115"/>
      <c r="F1010" s="105"/>
      <c r="G1010" s="96"/>
      <c r="H1010" s="97"/>
      <c r="I1010" s="96"/>
      <c r="J1010" s="96"/>
      <c r="K1010" s="107"/>
      <c r="L1010" s="107"/>
      <c r="M1010" s="102"/>
    </row>
    <row r="1011" spans="1:13">
      <c r="A1011" s="96"/>
      <c r="B1011" s="97"/>
      <c r="C1011" s="115"/>
      <c r="D1011" s="115"/>
      <c r="E1011" s="115"/>
      <c r="F1011" s="105"/>
      <c r="G1011" s="96"/>
      <c r="H1011" s="97"/>
      <c r="I1011" s="96"/>
      <c r="J1011" s="96"/>
      <c r="K1011" s="107"/>
      <c r="L1011" s="107"/>
      <c r="M1011" s="102"/>
    </row>
    <row r="1012" spans="1:13">
      <c r="A1012" s="96"/>
      <c r="B1012" s="97"/>
      <c r="C1012" s="115"/>
      <c r="D1012" s="115"/>
      <c r="E1012" s="115"/>
      <c r="F1012" s="105"/>
      <c r="G1012" s="96"/>
      <c r="H1012" s="97"/>
      <c r="I1012" s="96"/>
      <c r="J1012" s="96"/>
      <c r="K1012" s="107"/>
      <c r="L1012" s="107"/>
      <c r="M1012" s="102"/>
    </row>
    <row r="1013" spans="1:13">
      <c r="A1013" s="96"/>
      <c r="B1013" s="97"/>
      <c r="C1013" s="115"/>
      <c r="D1013" s="115"/>
      <c r="E1013" s="115"/>
      <c r="F1013" s="105"/>
      <c r="G1013" s="96"/>
      <c r="H1013" s="97"/>
      <c r="I1013" s="96"/>
      <c r="J1013" s="96"/>
      <c r="K1013" s="107"/>
      <c r="L1013" s="107"/>
      <c r="M1013" s="102"/>
    </row>
    <row r="1014" spans="1:13">
      <c r="A1014" s="96"/>
      <c r="B1014" s="97"/>
      <c r="C1014" s="115"/>
      <c r="D1014" s="115"/>
      <c r="E1014" s="115"/>
      <c r="F1014" s="105"/>
      <c r="G1014" s="96"/>
      <c r="H1014" s="97"/>
      <c r="I1014" s="96"/>
      <c r="J1014" s="96"/>
      <c r="K1014" s="107"/>
      <c r="L1014" s="107"/>
      <c r="M1014" s="102"/>
    </row>
    <row r="1015" spans="1:13">
      <c r="A1015" s="96"/>
      <c r="B1015" s="97"/>
      <c r="C1015" s="115"/>
      <c r="D1015" s="115"/>
      <c r="E1015" s="115"/>
      <c r="F1015" s="105"/>
      <c r="G1015" s="96"/>
      <c r="H1015" s="97"/>
      <c r="I1015" s="96"/>
      <c r="J1015" s="96"/>
      <c r="K1015" s="107"/>
      <c r="L1015" s="107"/>
      <c r="M1015" s="102"/>
    </row>
    <row r="1016" spans="1:13">
      <c r="A1016" s="96"/>
      <c r="B1016" s="97"/>
      <c r="C1016" s="115"/>
      <c r="D1016" s="115"/>
      <c r="E1016" s="115"/>
      <c r="F1016" s="105"/>
      <c r="G1016" s="96"/>
      <c r="H1016" s="97"/>
      <c r="I1016" s="96"/>
      <c r="J1016" s="96"/>
      <c r="K1016" s="107"/>
      <c r="L1016" s="107"/>
      <c r="M1016" s="102"/>
    </row>
    <row r="1017" spans="1:13">
      <c r="A1017" s="96"/>
      <c r="B1017" s="97"/>
      <c r="C1017" s="115"/>
      <c r="D1017" s="115"/>
      <c r="E1017" s="115"/>
      <c r="F1017" s="105"/>
      <c r="G1017" s="96"/>
      <c r="H1017" s="97"/>
      <c r="I1017" s="96"/>
      <c r="J1017" s="96"/>
      <c r="K1017" s="107"/>
      <c r="L1017" s="107"/>
      <c r="M1017" s="102"/>
    </row>
    <row r="1018" spans="1:13">
      <c r="A1018" s="96"/>
      <c r="B1018" s="97"/>
      <c r="C1018" s="115"/>
      <c r="D1018" s="115"/>
      <c r="E1018" s="115"/>
      <c r="F1018" s="105"/>
      <c r="G1018" s="96"/>
      <c r="H1018" s="97"/>
      <c r="I1018" s="96"/>
      <c r="J1018" s="96"/>
      <c r="K1018" s="107"/>
      <c r="L1018" s="107"/>
      <c r="M1018" s="102"/>
    </row>
    <row r="1019" spans="1:13">
      <c r="A1019" s="96"/>
      <c r="B1019" s="97"/>
      <c r="C1019" s="115"/>
      <c r="D1019" s="115"/>
      <c r="E1019" s="115"/>
      <c r="F1019" s="105"/>
      <c r="G1019" s="96"/>
      <c r="H1019" s="97"/>
      <c r="I1019" s="96"/>
      <c r="J1019" s="96"/>
      <c r="K1019" s="107"/>
      <c r="L1019" s="107"/>
      <c r="M1019" s="102"/>
    </row>
    <row r="1020" spans="1:13">
      <c r="A1020" s="96"/>
      <c r="B1020" s="97"/>
      <c r="C1020" s="115"/>
      <c r="D1020" s="115"/>
      <c r="E1020" s="115"/>
      <c r="F1020" s="105"/>
      <c r="G1020" s="96"/>
      <c r="H1020" s="97"/>
      <c r="I1020" s="96"/>
      <c r="J1020" s="96"/>
      <c r="K1020" s="107"/>
      <c r="L1020" s="107"/>
      <c r="M1020" s="102"/>
    </row>
    <row r="1021" spans="1:13">
      <c r="A1021" s="96"/>
      <c r="B1021" s="97"/>
      <c r="C1021" s="115"/>
      <c r="D1021" s="115"/>
      <c r="E1021" s="115"/>
      <c r="F1021" s="105"/>
      <c r="G1021" s="96"/>
      <c r="H1021" s="97"/>
      <c r="I1021" s="96"/>
      <c r="J1021" s="96"/>
      <c r="K1021" s="107"/>
      <c r="L1021" s="107"/>
      <c r="M1021" s="102"/>
    </row>
    <row r="1022" spans="1:13">
      <c r="A1022" s="96"/>
      <c r="B1022" s="97"/>
      <c r="C1022" s="115"/>
      <c r="D1022" s="115"/>
      <c r="E1022" s="115"/>
      <c r="F1022" s="105"/>
      <c r="G1022" s="96"/>
      <c r="H1022" s="97"/>
      <c r="I1022" s="96"/>
      <c r="J1022" s="96"/>
      <c r="K1022" s="107"/>
      <c r="L1022" s="107"/>
      <c r="M1022" s="102"/>
    </row>
    <row r="1023" spans="1:13">
      <c r="A1023" s="96"/>
      <c r="B1023" s="97"/>
      <c r="C1023" s="115"/>
      <c r="D1023" s="115"/>
      <c r="E1023" s="115"/>
      <c r="F1023" s="105"/>
      <c r="G1023" s="96"/>
      <c r="H1023" s="97"/>
      <c r="I1023" s="96"/>
      <c r="J1023" s="96"/>
      <c r="K1023" s="107"/>
      <c r="L1023" s="107"/>
      <c r="M1023" s="102"/>
    </row>
    <row r="1024" spans="1:13">
      <c r="A1024" s="96"/>
      <c r="B1024" s="97"/>
      <c r="C1024" s="115"/>
      <c r="D1024" s="115"/>
      <c r="E1024" s="115"/>
      <c r="F1024" s="105"/>
      <c r="G1024" s="96"/>
      <c r="H1024" s="97"/>
      <c r="I1024" s="96"/>
      <c r="J1024" s="96"/>
      <c r="K1024" s="107"/>
      <c r="L1024" s="107"/>
      <c r="M1024" s="102"/>
    </row>
    <row r="1025" spans="1:13">
      <c r="A1025" s="96"/>
      <c r="B1025" s="97"/>
      <c r="C1025" s="115"/>
      <c r="D1025" s="115"/>
      <c r="E1025" s="115"/>
      <c r="F1025" s="105"/>
      <c r="G1025" s="96"/>
      <c r="H1025" s="97"/>
      <c r="I1025" s="96"/>
      <c r="J1025" s="96"/>
      <c r="K1025" s="107"/>
      <c r="L1025" s="107"/>
      <c r="M1025" s="102"/>
    </row>
    <row r="1026" spans="1:13">
      <c r="A1026" s="96"/>
      <c r="B1026" s="97"/>
      <c r="C1026" s="115"/>
      <c r="D1026" s="115"/>
      <c r="E1026" s="115"/>
      <c r="F1026" s="105"/>
      <c r="G1026" s="96"/>
      <c r="H1026" s="97"/>
      <c r="I1026" s="96"/>
      <c r="J1026" s="96"/>
      <c r="K1026" s="107"/>
      <c r="L1026" s="107"/>
      <c r="M1026" s="102"/>
    </row>
    <row r="1027" spans="1:13">
      <c r="A1027" s="96"/>
      <c r="B1027" s="97"/>
      <c r="C1027" s="115"/>
      <c r="D1027" s="115"/>
      <c r="E1027" s="115"/>
      <c r="F1027" s="105"/>
      <c r="G1027" s="96"/>
      <c r="H1027" s="97"/>
      <c r="I1027" s="96"/>
      <c r="J1027" s="96"/>
      <c r="K1027" s="107"/>
      <c r="L1027" s="107"/>
      <c r="M1027" s="102"/>
    </row>
    <row r="1028" spans="1:13">
      <c r="A1028" s="96"/>
      <c r="B1028" s="97"/>
      <c r="C1028" s="115"/>
      <c r="D1028" s="115"/>
      <c r="E1028" s="115"/>
      <c r="F1028" s="105"/>
      <c r="G1028" s="96"/>
      <c r="H1028" s="97"/>
      <c r="I1028" s="96"/>
      <c r="J1028" s="96"/>
      <c r="K1028" s="107"/>
      <c r="L1028" s="107"/>
      <c r="M1028" s="102"/>
    </row>
    <row r="1029" spans="1:13">
      <c r="A1029" s="96"/>
      <c r="B1029" s="97"/>
      <c r="C1029" s="115"/>
      <c r="D1029" s="115"/>
      <c r="E1029" s="115"/>
      <c r="F1029" s="105"/>
      <c r="G1029" s="96"/>
      <c r="H1029" s="97"/>
      <c r="I1029" s="96"/>
      <c r="J1029" s="96"/>
      <c r="K1029" s="107"/>
      <c r="L1029" s="107"/>
      <c r="M1029" s="102"/>
    </row>
    <row r="1030" spans="1:13">
      <c r="A1030" s="96"/>
      <c r="B1030" s="97"/>
      <c r="C1030" s="115"/>
      <c r="D1030" s="115"/>
      <c r="E1030" s="115"/>
      <c r="F1030" s="105"/>
      <c r="G1030" s="96"/>
      <c r="H1030" s="97"/>
      <c r="I1030" s="96"/>
      <c r="J1030" s="96"/>
      <c r="K1030" s="107"/>
      <c r="L1030" s="107"/>
      <c r="M1030" s="102"/>
    </row>
    <row r="1031" spans="1:13">
      <c r="A1031" s="96"/>
      <c r="B1031" s="97"/>
      <c r="C1031" s="115"/>
      <c r="D1031" s="115"/>
      <c r="E1031" s="115"/>
      <c r="F1031" s="105"/>
      <c r="G1031" s="96"/>
      <c r="H1031" s="97"/>
      <c r="I1031" s="96"/>
      <c r="J1031" s="96"/>
      <c r="K1031" s="107"/>
      <c r="L1031" s="107"/>
      <c r="M1031" s="102"/>
    </row>
    <row r="1032" spans="1:13">
      <c r="A1032" s="96"/>
      <c r="B1032" s="97"/>
      <c r="C1032" s="115"/>
      <c r="D1032" s="115"/>
      <c r="E1032" s="115"/>
      <c r="F1032" s="105"/>
      <c r="G1032" s="96"/>
      <c r="H1032" s="97"/>
      <c r="I1032" s="96"/>
      <c r="J1032" s="96"/>
      <c r="K1032" s="107"/>
      <c r="L1032" s="107"/>
      <c r="M1032" s="102"/>
    </row>
    <row r="1033" spans="1:13">
      <c r="A1033" s="96"/>
      <c r="B1033" s="97"/>
      <c r="C1033" s="115"/>
      <c r="D1033" s="115"/>
      <c r="E1033" s="115"/>
      <c r="F1033" s="105"/>
      <c r="G1033" s="96"/>
      <c r="H1033" s="97"/>
      <c r="I1033" s="96"/>
      <c r="J1033" s="96"/>
      <c r="K1033" s="107"/>
      <c r="L1033" s="107"/>
      <c r="M1033" s="102"/>
    </row>
    <row r="1034" spans="1:13">
      <c r="A1034" s="96"/>
      <c r="B1034" s="97"/>
      <c r="C1034" s="115"/>
      <c r="D1034" s="115"/>
      <c r="E1034" s="115"/>
      <c r="F1034" s="105"/>
      <c r="G1034" s="96"/>
      <c r="H1034" s="97"/>
      <c r="I1034" s="96"/>
      <c r="J1034" s="96"/>
      <c r="K1034" s="107"/>
      <c r="L1034" s="107"/>
      <c r="M1034" s="102"/>
    </row>
    <row r="1035" spans="1:13">
      <c r="A1035" s="96"/>
      <c r="B1035" s="97"/>
      <c r="C1035" s="115"/>
      <c r="D1035" s="115"/>
      <c r="E1035" s="115"/>
      <c r="F1035" s="105"/>
      <c r="G1035" s="96"/>
      <c r="H1035" s="97"/>
      <c r="I1035" s="96"/>
      <c r="J1035" s="96"/>
      <c r="K1035" s="107"/>
      <c r="L1035" s="107"/>
      <c r="M1035" s="102"/>
    </row>
    <row r="1036" spans="1:13">
      <c r="A1036" s="96"/>
      <c r="B1036" s="97"/>
      <c r="C1036" s="115"/>
      <c r="D1036" s="115"/>
      <c r="E1036" s="115"/>
      <c r="F1036" s="105"/>
      <c r="G1036" s="96"/>
      <c r="H1036" s="97"/>
      <c r="I1036" s="96"/>
      <c r="J1036" s="96"/>
      <c r="K1036" s="107"/>
      <c r="L1036" s="107"/>
      <c r="M1036" s="102"/>
    </row>
    <row r="1037" spans="1:13">
      <c r="A1037" s="96"/>
      <c r="B1037" s="97"/>
      <c r="C1037" s="115"/>
      <c r="D1037" s="115"/>
      <c r="E1037" s="115"/>
      <c r="F1037" s="105"/>
      <c r="G1037" s="96"/>
      <c r="H1037" s="97"/>
      <c r="I1037" s="96"/>
      <c r="J1037" s="96"/>
      <c r="K1037" s="107"/>
      <c r="L1037" s="107"/>
      <c r="M1037" s="102"/>
    </row>
    <row r="1038" spans="1:13">
      <c r="A1038" s="96"/>
      <c r="B1038" s="97"/>
      <c r="C1038" s="115"/>
      <c r="D1038" s="115"/>
      <c r="E1038" s="115"/>
      <c r="F1038" s="105"/>
      <c r="G1038" s="96"/>
      <c r="H1038" s="97"/>
      <c r="I1038" s="96"/>
      <c r="J1038" s="96"/>
      <c r="K1038" s="107"/>
      <c r="L1038" s="107"/>
      <c r="M1038" s="102"/>
    </row>
    <row r="1039" spans="1:13">
      <c r="A1039" s="96"/>
      <c r="B1039" s="97"/>
      <c r="C1039" s="115"/>
      <c r="D1039" s="115"/>
      <c r="E1039" s="115"/>
      <c r="F1039" s="105"/>
      <c r="G1039" s="96"/>
      <c r="H1039" s="97"/>
      <c r="I1039" s="96"/>
      <c r="J1039" s="96"/>
      <c r="K1039" s="107"/>
      <c r="L1039" s="107"/>
      <c r="M1039" s="102"/>
    </row>
    <row r="1040" spans="1:13">
      <c r="A1040" s="96"/>
      <c r="B1040" s="97"/>
      <c r="C1040" s="115"/>
      <c r="D1040" s="115"/>
      <c r="E1040" s="115"/>
      <c r="F1040" s="105"/>
      <c r="G1040" s="96"/>
      <c r="H1040" s="97"/>
      <c r="I1040" s="96"/>
      <c r="J1040" s="96"/>
      <c r="K1040" s="107"/>
      <c r="L1040" s="107"/>
      <c r="M1040" s="102"/>
    </row>
    <row r="1041" spans="1:13">
      <c r="A1041" s="96"/>
      <c r="B1041" s="97"/>
      <c r="C1041" s="115"/>
      <c r="D1041" s="115"/>
      <c r="E1041" s="115"/>
      <c r="F1041" s="105"/>
      <c r="G1041" s="96"/>
      <c r="H1041" s="97"/>
      <c r="I1041" s="96"/>
      <c r="J1041" s="96"/>
      <c r="K1041" s="107"/>
      <c r="L1041" s="107"/>
      <c r="M1041" s="102"/>
    </row>
    <row r="1042" spans="1:13">
      <c r="A1042" s="96"/>
      <c r="B1042" s="97"/>
      <c r="C1042" s="115"/>
      <c r="D1042" s="115"/>
      <c r="E1042" s="115"/>
      <c r="F1042" s="105"/>
      <c r="G1042" s="96"/>
      <c r="H1042" s="97"/>
      <c r="I1042" s="96"/>
      <c r="J1042" s="96"/>
      <c r="K1042" s="107"/>
      <c r="L1042" s="107"/>
      <c r="M1042" s="102"/>
    </row>
    <row r="1043" spans="1:13">
      <c r="A1043" s="96"/>
      <c r="B1043" s="97"/>
      <c r="C1043" s="115"/>
      <c r="D1043" s="115"/>
      <c r="E1043" s="115"/>
      <c r="F1043" s="105"/>
      <c r="G1043" s="96"/>
      <c r="H1043" s="97"/>
      <c r="I1043" s="96"/>
      <c r="J1043" s="96"/>
      <c r="K1043" s="107"/>
      <c r="L1043" s="107"/>
      <c r="M1043" s="102"/>
    </row>
    <row r="1044" spans="1:13">
      <c r="A1044" s="96"/>
      <c r="B1044" s="97"/>
      <c r="C1044" s="115"/>
      <c r="D1044" s="115"/>
      <c r="E1044" s="115"/>
      <c r="F1044" s="105"/>
      <c r="G1044" s="96"/>
      <c r="H1044" s="97"/>
      <c r="I1044" s="96"/>
      <c r="J1044" s="96"/>
      <c r="K1044" s="107"/>
      <c r="L1044" s="107"/>
      <c r="M1044" s="102"/>
    </row>
    <row r="1045" spans="1:13">
      <c r="A1045" s="96"/>
      <c r="B1045" s="97"/>
      <c r="C1045" s="115"/>
      <c r="D1045" s="115"/>
      <c r="E1045" s="115"/>
      <c r="F1045" s="105"/>
      <c r="G1045" s="96"/>
      <c r="H1045" s="97"/>
      <c r="I1045" s="96"/>
      <c r="J1045" s="96"/>
      <c r="K1045" s="107"/>
      <c r="L1045" s="107"/>
      <c r="M1045" s="102"/>
    </row>
    <row r="1046" spans="1:13">
      <c r="A1046" s="96"/>
      <c r="B1046" s="97"/>
      <c r="C1046" s="115"/>
      <c r="D1046" s="115"/>
      <c r="E1046" s="115"/>
      <c r="F1046" s="105"/>
      <c r="G1046" s="96"/>
      <c r="H1046" s="97"/>
      <c r="I1046" s="96"/>
      <c r="J1046" s="96"/>
      <c r="K1046" s="107"/>
      <c r="L1046" s="107"/>
      <c r="M1046" s="102"/>
    </row>
    <row r="1047" spans="1:13">
      <c r="A1047" s="96"/>
      <c r="B1047" s="97"/>
      <c r="C1047" s="115"/>
      <c r="D1047" s="115"/>
      <c r="E1047" s="115"/>
      <c r="F1047" s="105"/>
      <c r="G1047" s="96"/>
      <c r="H1047" s="97"/>
      <c r="I1047" s="96"/>
      <c r="J1047" s="96"/>
      <c r="K1047" s="107"/>
      <c r="L1047" s="107"/>
      <c r="M1047" s="102"/>
    </row>
    <row r="1048" spans="1:13">
      <c r="A1048" s="96"/>
      <c r="B1048" s="97"/>
      <c r="C1048" s="115"/>
      <c r="D1048" s="115"/>
      <c r="E1048" s="115"/>
      <c r="F1048" s="105"/>
      <c r="G1048" s="96"/>
      <c r="H1048" s="97"/>
      <c r="I1048" s="96"/>
      <c r="J1048" s="96"/>
      <c r="K1048" s="107"/>
      <c r="L1048" s="107"/>
      <c r="M1048" s="102"/>
    </row>
    <row r="1049" spans="1:13">
      <c r="A1049" s="96"/>
      <c r="B1049" s="97"/>
      <c r="C1049" s="115"/>
      <c r="D1049" s="115"/>
      <c r="E1049" s="115"/>
      <c r="F1049" s="105"/>
      <c r="G1049" s="96"/>
      <c r="H1049" s="97"/>
      <c r="I1049" s="96"/>
      <c r="J1049" s="96"/>
      <c r="K1049" s="107"/>
      <c r="L1049" s="107"/>
      <c r="M1049" s="102"/>
    </row>
    <row r="1050" spans="1:13">
      <c r="A1050" s="96"/>
      <c r="B1050" s="97"/>
      <c r="C1050" s="115"/>
      <c r="D1050" s="115"/>
      <c r="E1050" s="115"/>
      <c r="F1050" s="105"/>
      <c r="G1050" s="96"/>
      <c r="H1050" s="97"/>
      <c r="I1050" s="96"/>
      <c r="J1050" s="96"/>
      <c r="K1050" s="107"/>
      <c r="L1050" s="107"/>
      <c r="M1050" s="102"/>
    </row>
    <row r="1051" spans="1:13">
      <c r="A1051" s="96"/>
      <c r="B1051" s="97"/>
      <c r="C1051" s="115"/>
      <c r="D1051" s="115"/>
      <c r="E1051" s="115"/>
      <c r="F1051" s="105"/>
      <c r="G1051" s="96"/>
      <c r="H1051" s="97"/>
      <c r="I1051" s="96"/>
      <c r="J1051" s="96"/>
      <c r="K1051" s="107"/>
      <c r="L1051" s="107"/>
      <c r="M1051" s="102"/>
    </row>
    <row r="1052" spans="1:13">
      <c r="A1052" s="96"/>
      <c r="B1052" s="97"/>
      <c r="C1052" s="115"/>
      <c r="D1052" s="115"/>
      <c r="E1052" s="115"/>
      <c r="F1052" s="105"/>
      <c r="G1052" s="96"/>
      <c r="H1052" s="97"/>
      <c r="I1052" s="96"/>
      <c r="J1052" s="96"/>
      <c r="K1052" s="107"/>
      <c r="L1052" s="107"/>
      <c r="M1052" s="102"/>
    </row>
    <row r="1053" spans="1:13">
      <c r="A1053" s="96"/>
      <c r="B1053" s="97"/>
      <c r="C1053" s="115"/>
      <c r="D1053" s="115"/>
      <c r="E1053" s="115"/>
      <c r="F1053" s="105"/>
      <c r="G1053" s="96"/>
      <c r="H1053" s="97"/>
      <c r="I1053" s="96"/>
      <c r="J1053" s="96"/>
      <c r="K1053" s="107"/>
      <c r="L1053" s="107"/>
      <c r="M1053" s="102"/>
    </row>
    <row r="1054" spans="1:13">
      <c r="A1054" s="96"/>
      <c r="B1054" s="97"/>
      <c r="C1054" s="115"/>
      <c r="D1054" s="115"/>
      <c r="E1054" s="115"/>
      <c r="F1054" s="105"/>
      <c r="G1054" s="96"/>
      <c r="H1054" s="97"/>
      <c r="I1054" s="96"/>
      <c r="J1054" s="96"/>
      <c r="K1054" s="107"/>
      <c r="L1054" s="107"/>
      <c r="M1054" s="102"/>
    </row>
    <row r="1055" spans="1:13">
      <c r="A1055" s="96"/>
      <c r="B1055" s="97"/>
      <c r="C1055" s="115"/>
      <c r="D1055" s="115"/>
      <c r="E1055" s="115"/>
      <c r="F1055" s="105"/>
      <c r="G1055" s="96"/>
      <c r="H1055" s="97"/>
      <c r="I1055" s="96"/>
      <c r="J1055" s="96"/>
      <c r="K1055" s="107"/>
      <c r="L1055" s="107"/>
      <c r="M1055" s="102"/>
    </row>
    <row r="1056" spans="1:13">
      <c r="A1056" s="96"/>
      <c r="B1056" s="97"/>
      <c r="C1056" s="115"/>
      <c r="D1056" s="115"/>
      <c r="E1056" s="115"/>
      <c r="F1056" s="105"/>
      <c r="G1056" s="96"/>
      <c r="H1056" s="97"/>
      <c r="I1056" s="96"/>
      <c r="J1056" s="96"/>
      <c r="K1056" s="107"/>
      <c r="L1056" s="107"/>
      <c r="M1056" s="102"/>
    </row>
    <row r="1057" spans="1:13">
      <c r="A1057" s="96"/>
      <c r="B1057" s="97"/>
      <c r="C1057" s="115"/>
      <c r="D1057" s="115"/>
      <c r="E1057" s="115"/>
      <c r="F1057" s="105"/>
      <c r="G1057" s="96"/>
      <c r="H1057" s="97"/>
      <c r="I1057" s="96"/>
      <c r="J1057" s="96"/>
      <c r="K1057" s="107"/>
      <c r="L1057" s="107"/>
      <c r="M1057" s="102"/>
    </row>
    <row r="1058" spans="1:13">
      <c r="A1058" s="96"/>
      <c r="B1058" s="97"/>
      <c r="C1058" s="115"/>
      <c r="D1058" s="115"/>
      <c r="E1058" s="115"/>
      <c r="F1058" s="105"/>
      <c r="G1058" s="96"/>
      <c r="H1058" s="97"/>
      <c r="I1058" s="96"/>
      <c r="J1058" s="96"/>
      <c r="K1058" s="107"/>
      <c r="L1058" s="107"/>
      <c r="M1058" s="102"/>
    </row>
    <row r="1059" spans="1:13">
      <c r="A1059" s="96"/>
      <c r="B1059" s="97"/>
      <c r="C1059" s="115"/>
      <c r="D1059" s="115"/>
      <c r="E1059" s="115"/>
      <c r="F1059" s="105"/>
      <c r="G1059" s="96"/>
      <c r="H1059" s="97"/>
      <c r="I1059" s="96"/>
      <c r="J1059" s="96"/>
      <c r="K1059" s="107"/>
      <c r="L1059" s="107"/>
      <c r="M1059" s="102"/>
    </row>
    <row r="1060" spans="1:13">
      <c r="A1060" s="96"/>
      <c r="B1060" s="97"/>
      <c r="C1060" s="115"/>
      <c r="D1060" s="115"/>
      <c r="E1060" s="115"/>
      <c r="F1060" s="105"/>
      <c r="G1060" s="96"/>
      <c r="H1060" s="97"/>
      <c r="I1060" s="96"/>
      <c r="J1060" s="96"/>
      <c r="K1060" s="107"/>
      <c r="L1060" s="107"/>
      <c r="M1060" s="102"/>
    </row>
    <row r="1061" spans="1:13">
      <c r="A1061" s="96"/>
      <c r="B1061" s="97"/>
      <c r="C1061" s="115"/>
      <c r="D1061" s="115"/>
      <c r="E1061" s="115"/>
      <c r="F1061" s="105"/>
      <c r="G1061" s="96"/>
      <c r="H1061" s="97"/>
      <c r="I1061" s="96"/>
      <c r="J1061" s="96"/>
      <c r="K1061" s="107"/>
      <c r="L1061" s="107"/>
      <c r="M1061" s="102"/>
    </row>
    <row r="1062" spans="1:13">
      <c r="A1062" s="96"/>
      <c r="B1062" s="97"/>
      <c r="C1062" s="115"/>
      <c r="D1062" s="115"/>
      <c r="E1062" s="115"/>
      <c r="F1062" s="105"/>
      <c r="G1062" s="96"/>
      <c r="H1062" s="97"/>
      <c r="I1062" s="96"/>
      <c r="J1062" s="96"/>
      <c r="K1062" s="107"/>
      <c r="L1062" s="107"/>
      <c r="M1062" s="102"/>
    </row>
    <row r="1063" spans="1:13">
      <c r="A1063" s="96"/>
      <c r="B1063" s="97"/>
      <c r="C1063" s="115"/>
      <c r="D1063" s="115"/>
      <c r="E1063" s="115"/>
      <c r="F1063" s="105"/>
      <c r="G1063" s="96"/>
      <c r="H1063" s="97"/>
      <c r="I1063" s="96"/>
      <c r="J1063" s="96"/>
      <c r="K1063" s="107"/>
      <c r="L1063" s="107"/>
      <c r="M1063" s="102"/>
    </row>
    <row r="1064" spans="1:13">
      <c r="A1064" s="96"/>
      <c r="B1064" s="97"/>
      <c r="C1064" s="115"/>
      <c r="D1064" s="115"/>
      <c r="E1064" s="115"/>
      <c r="F1064" s="105"/>
      <c r="G1064" s="96"/>
      <c r="H1064" s="97"/>
      <c r="I1064" s="96"/>
      <c r="J1064" s="96"/>
      <c r="K1064" s="107"/>
      <c r="L1064" s="107"/>
      <c r="M1064" s="102"/>
    </row>
    <row r="1065" spans="1:13">
      <c r="A1065" s="96"/>
      <c r="B1065" s="97"/>
      <c r="C1065" s="115"/>
      <c r="D1065" s="115"/>
      <c r="E1065" s="115"/>
      <c r="F1065" s="105"/>
      <c r="G1065" s="96"/>
      <c r="H1065" s="97"/>
      <c r="I1065" s="96"/>
      <c r="J1065" s="96"/>
      <c r="K1065" s="107"/>
      <c r="L1065" s="107"/>
      <c r="M1065" s="102"/>
    </row>
    <row r="1066" spans="1:13">
      <c r="A1066" s="96"/>
      <c r="B1066" s="97"/>
      <c r="C1066" s="115"/>
      <c r="D1066" s="115"/>
      <c r="E1066" s="115"/>
      <c r="F1066" s="105"/>
      <c r="G1066" s="96"/>
      <c r="H1066" s="97"/>
      <c r="I1066" s="96"/>
      <c r="J1066" s="96"/>
      <c r="K1066" s="107"/>
      <c r="L1066" s="107"/>
      <c r="M1066" s="102"/>
    </row>
    <row r="1067" spans="1:13">
      <c r="A1067" s="96"/>
      <c r="B1067" s="97"/>
      <c r="C1067" s="115"/>
      <c r="D1067" s="115"/>
      <c r="E1067" s="115"/>
      <c r="F1067" s="105"/>
      <c r="G1067" s="96"/>
      <c r="H1067" s="97"/>
      <c r="I1067" s="96"/>
      <c r="J1067" s="96"/>
      <c r="K1067" s="107"/>
      <c r="L1067" s="107"/>
      <c r="M1067" s="102"/>
    </row>
    <row r="1068" spans="1:13">
      <c r="A1068" s="96"/>
      <c r="B1068" s="97"/>
      <c r="C1068" s="115"/>
      <c r="D1068" s="115"/>
      <c r="E1068" s="115"/>
      <c r="F1068" s="105"/>
      <c r="G1068" s="96"/>
      <c r="H1068" s="97"/>
      <c r="I1068" s="96"/>
      <c r="J1068" s="96"/>
      <c r="K1068" s="107"/>
      <c r="L1068" s="107"/>
      <c r="M1068" s="102"/>
    </row>
    <row r="1069" spans="1:13">
      <c r="A1069" s="96"/>
      <c r="B1069" s="97"/>
      <c r="C1069" s="115"/>
      <c r="D1069" s="115"/>
      <c r="E1069" s="115"/>
      <c r="F1069" s="105"/>
      <c r="G1069" s="96"/>
      <c r="H1069" s="97"/>
      <c r="I1069" s="96"/>
      <c r="J1069" s="96"/>
      <c r="K1069" s="107"/>
      <c r="L1069" s="107"/>
      <c r="M1069" s="102"/>
    </row>
    <row r="1070" spans="1:13">
      <c r="A1070" s="96"/>
      <c r="B1070" s="97"/>
      <c r="C1070" s="115"/>
      <c r="D1070" s="115"/>
      <c r="E1070" s="115"/>
      <c r="F1070" s="105"/>
      <c r="G1070" s="96"/>
      <c r="H1070" s="97"/>
      <c r="I1070" s="96"/>
      <c r="J1070" s="96"/>
      <c r="K1070" s="107"/>
      <c r="L1070" s="107"/>
      <c r="M1070" s="102"/>
    </row>
    <row r="1071" spans="1:13">
      <c r="A1071" s="96"/>
      <c r="B1071" s="97"/>
      <c r="C1071" s="115"/>
      <c r="D1071" s="115"/>
      <c r="E1071" s="115"/>
      <c r="F1071" s="105"/>
      <c r="G1071" s="96"/>
      <c r="H1071" s="97"/>
      <c r="I1071" s="96"/>
      <c r="J1071" s="96"/>
      <c r="K1071" s="107"/>
      <c r="L1071" s="107"/>
      <c r="M1071" s="102"/>
    </row>
    <row r="1072" spans="1:13">
      <c r="A1072" s="96"/>
      <c r="B1072" s="97"/>
      <c r="C1072" s="115"/>
      <c r="D1072" s="115"/>
      <c r="E1072" s="115"/>
      <c r="F1072" s="105"/>
      <c r="G1072" s="96"/>
      <c r="H1072" s="97"/>
      <c r="I1072" s="96"/>
      <c r="J1072" s="96"/>
      <c r="K1072" s="107"/>
      <c r="L1072" s="107"/>
      <c r="M1072" s="102"/>
    </row>
    <row r="1073" spans="1:13">
      <c r="A1073" s="96"/>
      <c r="B1073" s="97"/>
      <c r="C1073" s="115"/>
      <c r="D1073" s="115"/>
      <c r="E1073" s="115"/>
      <c r="F1073" s="105"/>
      <c r="G1073" s="96"/>
      <c r="H1073" s="97"/>
      <c r="I1073" s="96"/>
      <c r="J1073" s="96"/>
      <c r="K1073" s="107"/>
      <c r="L1073" s="107"/>
      <c r="M1073" s="102"/>
    </row>
    <row r="1074" spans="1:13">
      <c r="A1074" s="96"/>
      <c r="B1074" s="97"/>
      <c r="C1074" s="115"/>
      <c r="D1074" s="115"/>
      <c r="E1074" s="115"/>
      <c r="F1074" s="105"/>
      <c r="G1074" s="96"/>
      <c r="H1074" s="97"/>
      <c r="I1074" s="96"/>
      <c r="J1074" s="96"/>
      <c r="K1074" s="107"/>
      <c r="L1074" s="107"/>
      <c r="M1074" s="102"/>
    </row>
    <row r="1075" spans="1:13">
      <c r="A1075" s="96"/>
      <c r="B1075" s="97"/>
      <c r="C1075" s="115"/>
      <c r="D1075" s="115"/>
      <c r="E1075" s="115"/>
      <c r="F1075" s="105"/>
      <c r="G1075" s="96"/>
      <c r="H1075" s="97"/>
      <c r="I1075" s="96"/>
      <c r="J1075" s="96"/>
      <c r="K1075" s="107"/>
      <c r="L1075" s="107"/>
      <c r="M1075" s="102"/>
    </row>
    <row r="1076" spans="1:13">
      <c r="A1076" s="96"/>
      <c r="B1076" s="97"/>
      <c r="C1076" s="115"/>
      <c r="D1076" s="115"/>
      <c r="E1076" s="115"/>
      <c r="F1076" s="105"/>
      <c r="G1076" s="96"/>
      <c r="H1076" s="97"/>
      <c r="I1076" s="96"/>
      <c r="J1076" s="96"/>
      <c r="K1076" s="107"/>
      <c r="L1076" s="107"/>
      <c r="M1076" s="102"/>
    </row>
    <row r="1077" spans="1:13">
      <c r="A1077" s="96"/>
      <c r="B1077" s="97"/>
      <c r="C1077" s="115"/>
      <c r="D1077" s="115"/>
      <c r="E1077" s="115"/>
      <c r="F1077" s="105"/>
      <c r="G1077" s="96"/>
      <c r="H1077" s="97"/>
      <c r="I1077" s="96"/>
      <c r="J1077" s="96"/>
      <c r="K1077" s="107"/>
      <c r="L1077" s="107"/>
      <c r="M1077" s="102"/>
    </row>
    <row r="1078" spans="1:13">
      <c r="A1078" s="96"/>
      <c r="B1078" s="97"/>
      <c r="C1078" s="115"/>
      <c r="D1078" s="115"/>
      <c r="E1078" s="115"/>
      <c r="F1078" s="105"/>
      <c r="G1078" s="96"/>
      <c r="H1078" s="97"/>
      <c r="I1078" s="96"/>
      <c r="J1078" s="96"/>
      <c r="K1078" s="107"/>
      <c r="L1078" s="107"/>
      <c r="M1078" s="102"/>
    </row>
    <row r="1079" spans="1:13">
      <c r="A1079" s="96"/>
      <c r="B1079" s="97"/>
      <c r="C1079" s="115"/>
      <c r="D1079" s="115"/>
      <c r="E1079" s="115"/>
      <c r="F1079" s="105"/>
      <c r="G1079" s="96"/>
      <c r="H1079" s="97"/>
      <c r="I1079" s="96"/>
      <c r="J1079" s="96"/>
      <c r="K1079" s="107"/>
      <c r="L1079" s="107"/>
      <c r="M1079" s="102"/>
    </row>
    <row r="1080" spans="1:13">
      <c r="A1080" s="96"/>
      <c r="B1080" s="97"/>
      <c r="C1080" s="115"/>
      <c r="D1080" s="115"/>
      <c r="E1080" s="115"/>
      <c r="F1080" s="105"/>
      <c r="G1080" s="96"/>
      <c r="H1080" s="97"/>
      <c r="I1080" s="96"/>
      <c r="J1080" s="96"/>
      <c r="K1080" s="107"/>
      <c r="L1080" s="107"/>
      <c r="M1080" s="102"/>
    </row>
    <row r="1081" spans="1:13">
      <c r="A1081" s="96"/>
      <c r="B1081" s="97"/>
      <c r="C1081" s="115"/>
      <c r="D1081" s="115"/>
      <c r="E1081" s="115"/>
      <c r="F1081" s="105"/>
      <c r="G1081" s="96"/>
      <c r="H1081" s="97"/>
      <c r="I1081" s="96"/>
      <c r="J1081" s="96"/>
      <c r="K1081" s="107"/>
      <c r="L1081" s="107"/>
      <c r="M1081" s="102"/>
    </row>
    <row r="1082" spans="1:13">
      <c r="A1082" s="96"/>
      <c r="B1082" s="97"/>
      <c r="C1082" s="115"/>
      <c r="D1082" s="115"/>
      <c r="E1082" s="115"/>
      <c r="F1082" s="105"/>
      <c r="G1082" s="96"/>
      <c r="H1082" s="97"/>
      <c r="I1082" s="96"/>
      <c r="J1082" s="96"/>
      <c r="K1082" s="107"/>
      <c r="L1082" s="107"/>
      <c r="M1082" s="102"/>
    </row>
    <row r="1083" spans="1:13">
      <c r="A1083" s="96"/>
      <c r="B1083" s="97"/>
      <c r="C1083" s="115"/>
      <c r="D1083" s="115"/>
      <c r="E1083" s="115"/>
      <c r="F1083" s="105"/>
      <c r="G1083" s="96"/>
      <c r="H1083" s="97"/>
      <c r="I1083" s="96"/>
      <c r="J1083" s="96"/>
      <c r="K1083" s="107"/>
      <c r="L1083" s="107"/>
      <c r="M1083" s="102"/>
    </row>
    <row r="1084" spans="1:13">
      <c r="A1084" s="96"/>
      <c r="B1084" s="97"/>
      <c r="C1084" s="115"/>
      <c r="D1084" s="115"/>
      <c r="E1084" s="115"/>
      <c r="F1084" s="105"/>
      <c r="G1084" s="96"/>
      <c r="H1084" s="97"/>
      <c r="I1084" s="96"/>
      <c r="J1084" s="96"/>
      <c r="K1084" s="107"/>
      <c r="L1084" s="107"/>
      <c r="M1084" s="102"/>
    </row>
    <row r="1085" spans="1:13">
      <c r="A1085" s="96"/>
      <c r="B1085" s="97"/>
      <c r="C1085" s="115"/>
      <c r="D1085" s="115"/>
      <c r="E1085" s="115"/>
      <c r="F1085" s="105"/>
      <c r="G1085" s="96"/>
      <c r="H1085" s="97"/>
      <c r="I1085" s="96"/>
      <c r="J1085" s="96"/>
      <c r="K1085" s="107"/>
      <c r="L1085" s="107"/>
      <c r="M1085" s="102"/>
    </row>
    <row r="1086" spans="1:13">
      <c r="A1086" s="96"/>
      <c r="B1086" s="97"/>
      <c r="C1086" s="115"/>
      <c r="D1086" s="115"/>
      <c r="E1086" s="115"/>
      <c r="F1086" s="105"/>
      <c r="G1086" s="96"/>
      <c r="H1086" s="97"/>
      <c r="I1086" s="96"/>
      <c r="J1086" s="96"/>
      <c r="K1086" s="107"/>
      <c r="L1086" s="107"/>
      <c r="M1086" s="102"/>
    </row>
    <row r="1087" spans="1:13">
      <c r="A1087" s="96"/>
      <c r="B1087" s="97"/>
      <c r="C1087" s="115"/>
      <c r="D1087" s="115"/>
      <c r="E1087" s="115"/>
      <c r="F1087" s="105"/>
      <c r="G1087" s="96"/>
      <c r="H1087" s="97"/>
      <c r="I1087" s="96"/>
      <c r="J1087" s="96"/>
      <c r="K1087" s="107"/>
      <c r="L1087" s="107"/>
      <c r="M1087" s="102"/>
    </row>
    <row r="1088" spans="1:13">
      <c r="A1088" s="96"/>
      <c r="B1088" s="97"/>
      <c r="C1088" s="115"/>
      <c r="D1088" s="115"/>
      <c r="E1088" s="115"/>
      <c r="F1088" s="105"/>
      <c r="G1088" s="96"/>
      <c r="H1088" s="97"/>
      <c r="I1088" s="96"/>
      <c r="J1088" s="96"/>
      <c r="K1088" s="107"/>
      <c r="L1088" s="107"/>
      <c r="M1088" s="102"/>
    </row>
    <row r="1089" spans="1:13">
      <c r="A1089" s="96"/>
      <c r="B1089" s="97"/>
      <c r="C1089" s="115"/>
      <c r="D1089" s="115"/>
      <c r="E1089" s="115"/>
      <c r="F1089" s="105"/>
      <c r="G1089" s="96"/>
      <c r="H1089" s="97"/>
      <c r="I1089" s="96"/>
      <c r="J1089" s="96"/>
      <c r="K1089" s="107"/>
      <c r="L1089" s="107"/>
      <c r="M1089" s="102"/>
    </row>
    <row r="1090" spans="1:13">
      <c r="A1090" s="96"/>
      <c r="B1090" s="97"/>
      <c r="C1090" s="115"/>
      <c r="D1090" s="115"/>
      <c r="E1090" s="115"/>
      <c r="F1090" s="105"/>
      <c r="G1090" s="96"/>
      <c r="H1090" s="97"/>
      <c r="I1090" s="96"/>
      <c r="J1090" s="96"/>
      <c r="K1090" s="107"/>
      <c r="L1090" s="107"/>
      <c r="M1090" s="102"/>
    </row>
    <row r="1091" spans="1:13">
      <c r="A1091" s="96"/>
      <c r="B1091" s="97"/>
      <c r="C1091" s="115"/>
      <c r="D1091" s="115"/>
      <c r="E1091" s="115"/>
      <c r="F1091" s="105"/>
      <c r="G1091" s="96"/>
      <c r="H1091" s="97"/>
      <c r="I1091" s="96"/>
      <c r="J1091" s="96"/>
      <c r="K1091" s="107"/>
      <c r="L1091" s="107"/>
      <c r="M1091" s="102"/>
    </row>
    <row r="1092" spans="1:13">
      <c r="A1092" s="96"/>
      <c r="B1092" s="97"/>
      <c r="C1092" s="115"/>
      <c r="D1092" s="115"/>
      <c r="E1092" s="115"/>
      <c r="F1092" s="105"/>
      <c r="G1092" s="96"/>
      <c r="H1092" s="97"/>
      <c r="I1092" s="96"/>
      <c r="J1092" s="96"/>
      <c r="K1092" s="107"/>
      <c r="L1092" s="107"/>
      <c r="M1092" s="102"/>
    </row>
    <row r="1093" spans="1:13">
      <c r="A1093" s="96"/>
      <c r="B1093" s="97"/>
      <c r="C1093" s="115"/>
      <c r="D1093" s="115"/>
      <c r="E1093" s="115"/>
      <c r="F1093" s="105"/>
      <c r="G1093" s="96"/>
      <c r="H1093" s="97"/>
      <c r="I1093" s="96"/>
      <c r="J1093" s="96"/>
      <c r="K1093" s="107"/>
      <c r="L1093" s="107"/>
      <c r="M1093" s="102"/>
    </row>
    <row r="1094" spans="1:13">
      <c r="A1094" s="96"/>
      <c r="B1094" s="97"/>
      <c r="C1094" s="115"/>
      <c r="D1094" s="115"/>
      <c r="E1094" s="115"/>
      <c r="F1094" s="105"/>
      <c r="G1094" s="96"/>
      <c r="H1094" s="97"/>
      <c r="I1094" s="96"/>
      <c r="J1094" s="96"/>
      <c r="K1094" s="107"/>
      <c r="L1094" s="107"/>
      <c r="M1094" s="102"/>
    </row>
    <row r="1095" spans="1:13">
      <c r="A1095" s="96"/>
      <c r="B1095" s="97"/>
      <c r="C1095" s="115"/>
      <c r="D1095" s="115"/>
      <c r="E1095" s="115"/>
      <c r="F1095" s="105"/>
      <c r="G1095" s="96"/>
      <c r="H1095" s="97"/>
      <c r="I1095" s="96"/>
      <c r="J1095" s="96"/>
      <c r="K1095" s="107"/>
      <c r="L1095" s="107"/>
      <c r="M1095" s="102"/>
    </row>
    <row r="1096" spans="1:13">
      <c r="A1096" s="96"/>
      <c r="B1096" s="97"/>
      <c r="C1096" s="115"/>
      <c r="D1096" s="115"/>
      <c r="E1096" s="115"/>
      <c r="F1096" s="105"/>
      <c r="G1096" s="96"/>
      <c r="H1096" s="97"/>
      <c r="I1096" s="96"/>
      <c r="J1096" s="96"/>
      <c r="K1096" s="107"/>
      <c r="L1096" s="107"/>
      <c r="M1096" s="102"/>
    </row>
    <row r="1097" spans="1:13">
      <c r="A1097" s="96"/>
      <c r="B1097" s="97"/>
      <c r="C1097" s="115"/>
      <c r="D1097" s="115"/>
      <c r="E1097" s="115"/>
      <c r="F1097" s="105"/>
      <c r="G1097" s="96"/>
      <c r="H1097" s="97"/>
      <c r="I1097" s="96"/>
      <c r="J1097" s="96"/>
      <c r="K1097" s="107"/>
      <c r="L1097" s="107"/>
      <c r="M1097" s="102"/>
    </row>
    <row r="1098" spans="1:13">
      <c r="A1098" s="96"/>
      <c r="B1098" s="97"/>
      <c r="C1098" s="115"/>
      <c r="D1098" s="115"/>
      <c r="E1098" s="115"/>
      <c r="F1098" s="105"/>
      <c r="G1098" s="96"/>
      <c r="H1098" s="97"/>
      <c r="I1098" s="96"/>
      <c r="J1098" s="96"/>
      <c r="K1098" s="107"/>
      <c r="L1098" s="107"/>
      <c r="M1098" s="102"/>
    </row>
    <row r="1099" spans="1:13">
      <c r="A1099" s="96"/>
      <c r="B1099" s="97"/>
      <c r="C1099" s="115"/>
      <c r="D1099" s="115"/>
      <c r="E1099" s="115"/>
      <c r="F1099" s="105"/>
      <c r="G1099" s="96"/>
      <c r="H1099" s="97"/>
      <c r="I1099" s="96"/>
      <c r="J1099" s="96"/>
      <c r="K1099" s="107"/>
      <c r="L1099" s="107"/>
      <c r="M1099" s="102"/>
    </row>
    <row r="1100" spans="1:13">
      <c r="A1100" s="96"/>
      <c r="B1100" s="97"/>
      <c r="C1100" s="115"/>
      <c r="D1100" s="115"/>
      <c r="E1100" s="115"/>
      <c r="F1100" s="105"/>
      <c r="G1100" s="96"/>
      <c r="H1100" s="97"/>
      <c r="I1100" s="96"/>
      <c r="J1100" s="96"/>
      <c r="K1100" s="107"/>
      <c r="L1100" s="107"/>
      <c r="M1100" s="102"/>
    </row>
    <row r="1101" spans="1:13">
      <c r="A1101" s="96"/>
      <c r="B1101" s="97"/>
      <c r="C1101" s="115"/>
      <c r="D1101" s="115"/>
      <c r="E1101" s="115"/>
      <c r="F1101" s="105"/>
      <c r="G1101" s="96"/>
      <c r="H1101" s="97"/>
      <c r="I1101" s="96"/>
      <c r="J1101" s="96"/>
      <c r="K1101" s="107"/>
      <c r="L1101" s="107"/>
      <c r="M1101" s="102"/>
    </row>
    <row r="1102" spans="1:13">
      <c r="A1102" s="96"/>
      <c r="B1102" s="97"/>
      <c r="C1102" s="115"/>
      <c r="D1102" s="115"/>
      <c r="E1102" s="115"/>
      <c r="F1102" s="105"/>
      <c r="G1102" s="96"/>
      <c r="H1102" s="97"/>
      <c r="I1102" s="96"/>
      <c r="J1102" s="96"/>
      <c r="K1102" s="107"/>
      <c r="L1102" s="107"/>
      <c r="M1102" s="102"/>
    </row>
    <row r="1103" spans="1:13">
      <c r="A1103" s="96"/>
      <c r="B1103" s="97"/>
      <c r="C1103" s="115"/>
      <c r="D1103" s="115"/>
      <c r="E1103" s="115"/>
      <c r="F1103" s="105"/>
      <c r="G1103" s="96"/>
      <c r="H1103" s="97"/>
      <c r="I1103" s="96"/>
      <c r="J1103" s="96"/>
      <c r="K1103" s="107"/>
      <c r="L1103" s="107"/>
      <c r="M1103" s="102"/>
    </row>
    <row r="1104" spans="1:13">
      <c r="A1104" s="96"/>
      <c r="B1104" s="97"/>
      <c r="C1104" s="115"/>
      <c r="D1104" s="115"/>
      <c r="E1104" s="115"/>
      <c r="F1104" s="105"/>
      <c r="G1104" s="96"/>
      <c r="H1104" s="97"/>
      <c r="I1104" s="96"/>
      <c r="J1104" s="96"/>
      <c r="K1104" s="107"/>
      <c r="L1104" s="107"/>
      <c r="M1104" s="102"/>
    </row>
    <row r="1105" spans="1:13">
      <c r="A1105" s="96"/>
      <c r="B1105" s="97"/>
      <c r="C1105" s="115"/>
      <c r="D1105" s="115"/>
      <c r="E1105" s="115"/>
      <c r="F1105" s="105"/>
      <c r="G1105" s="96"/>
      <c r="H1105" s="97"/>
      <c r="I1105" s="96"/>
      <c r="J1105" s="96"/>
      <c r="K1105" s="107"/>
      <c r="L1105" s="107"/>
      <c r="M1105" s="102"/>
    </row>
    <row r="1106" spans="1:13">
      <c r="A1106" s="96"/>
      <c r="B1106" s="97"/>
      <c r="C1106" s="115"/>
      <c r="D1106" s="115"/>
      <c r="E1106" s="115"/>
      <c r="F1106" s="105"/>
      <c r="G1106" s="96"/>
      <c r="H1106" s="97"/>
      <c r="I1106" s="96"/>
      <c r="J1106" s="96"/>
      <c r="K1106" s="107"/>
      <c r="L1106" s="107"/>
      <c r="M1106" s="102"/>
    </row>
    <row r="1107" spans="1:13">
      <c r="A1107" s="96"/>
      <c r="B1107" s="97"/>
      <c r="C1107" s="115"/>
      <c r="D1107" s="115"/>
      <c r="E1107" s="115"/>
      <c r="F1107" s="105"/>
      <c r="G1107" s="96"/>
      <c r="H1107" s="97"/>
      <c r="I1107" s="96"/>
      <c r="J1107" s="96"/>
      <c r="K1107" s="107"/>
      <c r="L1107" s="107"/>
      <c r="M1107" s="102"/>
    </row>
    <row r="1108" spans="1:13">
      <c r="A1108" s="96"/>
      <c r="B1108" s="97"/>
      <c r="C1108" s="115"/>
      <c r="D1108" s="115"/>
      <c r="E1108" s="115"/>
      <c r="F1108" s="105"/>
      <c r="G1108" s="96"/>
      <c r="H1108" s="97"/>
      <c r="I1108" s="96"/>
      <c r="J1108" s="96"/>
      <c r="K1108" s="107"/>
      <c r="L1108" s="107"/>
      <c r="M1108" s="102"/>
    </row>
    <row r="1109" spans="1:13">
      <c r="A1109" s="96"/>
      <c r="B1109" s="97"/>
      <c r="C1109" s="115"/>
      <c r="D1109" s="115"/>
      <c r="E1109" s="115"/>
      <c r="F1109" s="105"/>
      <c r="G1109" s="96"/>
      <c r="H1109" s="97"/>
      <c r="I1109" s="96"/>
      <c r="J1109" s="96"/>
      <c r="K1109" s="107"/>
      <c r="L1109" s="107"/>
      <c r="M1109" s="102"/>
    </row>
    <row r="1110" spans="1:13">
      <c r="A1110" s="96"/>
      <c r="B1110" s="97"/>
      <c r="C1110" s="115"/>
      <c r="D1110" s="115"/>
      <c r="E1110" s="115"/>
      <c r="F1110" s="105"/>
      <c r="G1110" s="96"/>
      <c r="H1110" s="97"/>
      <c r="I1110" s="96"/>
      <c r="J1110" s="96"/>
      <c r="K1110" s="107"/>
      <c r="L1110" s="107"/>
      <c r="M1110" s="102"/>
    </row>
    <row r="1111" spans="1:13">
      <c r="A1111" s="96"/>
      <c r="B1111" s="97"/>
      <c r="C1111" s="115"/>
      <c r="D1111" s="115"/>
      <c r="E1111" s="115"/>
      <c r="F1111" s="105"/>
      <c r="G1111" s="96"/>
      <c r="H1111" s="97"/>
      <c r="I1111" s="96"/>
      <c r="J1111" s="96"/>
      <c r="K1111" s="107"/>
      <c r="L1111" s="107"/>
      <c r="M1111" s="102"/>
    </row>
    <row r="1112" spans="1:13">
      <c r="A1112" s="96"/>
      <c r="B1112" s="97"/>
      <c r="C1112" s="115"/>
      <c r="D1112" s="115"/>
      <c r="E1112" s="115"/>
      <c r="F1112" s="105"/>
      <c r="G1112" s="96"/>
      <c r="H1112" s="97"/>
      <c r="I1112" s="96"/>
      <c r="J1112" s="96"/>
      <c r="K1112" s="107"/>
      <c r="L1112" s="107"/>
      <c r="M1112" s="102"/>
    </row>
    <row r="1113" spans="1:13">
      <c r="A1113" s="96"/>
      <c r="B1113" s="97"/>
      <c r="C1113" s="115"/>
      <c r="D1113" s="115"/>
      <c r="E1113" s="115"/>
      <c r="F1113" s="105"/>
      <c r="G1113" s="96"/>
      <c r="H1113" s="97"/>
      <c r="I1113" s="96"/>
      <c r="J1113" s="96"/>
      <c r="K1113" s="107"/>
      <c r="L1113" s="107"/>
      <c r="M1113" s="102"/>
    </row>
    <row r="1114" spans="1:13">
      <c r="A1114" s="96"/>
      <c r="B1114" s="97"/>
      <c r="C1114" s="115"/>
      <c r="D1114" s="115"/>
      <c r="E1114" s="115"/>
      <c r="F1114" s="105"/>
      <c r="G1114" s="96"/>
      <c r="H1114" s="97"/>
      <c r="I1114" s="96"/>
      <c r="J1114" s="96"/>
      <c r="K1114" s="107"/>
      <c r="L1114" s="107"/>
      <c r="M1114" s="102"/>
    </row>
    <row r="1115" spans="1:13">
      <c r="A1115" s="96"/>
      <c r="B1115" s="97"/>
      <c r="C1115" s="115"/>
      <c r="D1115" s="115"/>
      <c r="E1115" s="115"/>
      <c r="F1115" s="105"/>
      <c r="G1115" s="96"/>
      <c r="H1115" s="97"/>
      <c r="I1115" s="96"/>
      <c r="J1115" s="96"/>
      <c r="K1115" s="107"/>
      <c r="L1115" s="107"/>
      <c r="M1115" s="102"/>
    </row>
    <row r="1116" spans="1:13">
      <c r="A1116" s="96"/>
      <c r="B1116" s="97"/>
      <c r="C1116" s="115"/>
      <c r="D1116" s="115"/>
      <c r="E1116" s="115"/>
      <c r="F1116" s="105"/>
      <c r="G1116" s="96"/>
      <c r="H1116" s="97"/>
      <c r="I1116" s="96"/>
      <c r="J1116" s="96"/>
      <c r="K1116" s="107"/>
      <c r="L1116" s="107"/>
      <c r="M1116" s="102"/>
    </row>
    <row r="1117" spans="1:13">
      <c r="A1117" s="96"/>
      <c r="B1117" s="97"/>
      <c r="C1117" s="115"/>
      <c r="D1117" s="115"/>
      <c r="E1117" s="115"/>
      <c r="F1117" s="105"/>
      <c r="G1117" s="96"/>
      <c r="H1117" s="97"/>
      <c r="I1117" s="96"/>
      <c r="J1117" s="96"/>
      <c r="K1117" s="107"/>
      <c r="L1117" s="107"/>
      <c r="M1117" s="102"/>
    </row>
    <row r="1118" spans="1:13">
      <c r="A1118" s="96"/>
      <c r="B1118" s="97"/>
      <c r="C1118" s="115"/>
      <c r="D1118" s="115"/>
      <c r="E1118" s="115"/>
      <c r="F1118" s="105"/>
      <c r="G1118" s="96"/>
      <c r="H1118" s="97"/>
      <c r="I1118" s="96"/>
      <c r="J1118" s="96"/>
      <c r="K1118" s="107"/>
      <c r="L1118" s="107"/>
      <c r="M1118" s="102"/>
    </row>
    <row r="1119" spans="1:13">
      <c r="A1119" s="96"/>
      <c r="B1119" s="97"/>
      <c r="C1119" s="115"/>
      <c r="D1119" s="115"/>
      <c r="E1119" s="115"/>
      <c r="F1119" s="105"/>
      <c r="G1119" s="96"/>
      <c r="H1119" s="97"/>
      <c r="I1119" s="96"/>
      <c r="J1119" s="96"/>
      <c r="K1119" s="107"/>
      <c r="L1119" s="107"/>
      <c r="M1119" s="102"/>
    </row>
    <row r="1120" spans="1:13">
      <c r="A1120" s="96"/>
      <c r="B1120" s="97"/>
      <c r="C1120" s="115"/>
      <c r="D1120" s="115"/>
      <c r="E1120" s="115"/>
      <c r="F1120" s="105"/>
      <c r="G1120" s="96"/>
      <c r="H1120" s="97"/>
      <c r="I1120" s="96"/>
      <c r="J1120" s="96"/>
      <c r="K1120" s="107"/>
      <c r="L1120" s="107"/>
      <c r="M1120" s="102"/>
    </row>
    <row r="1121" spans="1:13">
      <c r="A1121" s="96"/>
      <c r="B1121" s="97"/>
      <c r="C1121" s="115"/>
      <c r="D1121" s="115"/>
      <c r="E1121" s="115"/>
      <c r="F1121" s="105"/>
      <c r="G1121" s="96"/>
      <c r="H1121" s="97"/>
      <c r="I1121" s="96"/>
      <c r="J1121" s="96"/>
      <c r="K1121" s="107"/>
      <c r="L1121" s="107"/>
      <c r="M1121" s="102"/>
    </row>
    <row r="1122" spans="1:13">
      <c r="A1122" s="96"/>
      <c r="B1122" s="97"/>
      <c r="C1122" s="115"/>
      <c r="D1122" s="115"/>
      <c r="E1122" s="115"/>
      <c r="F1122" s="105"/>
      <c r="G1122" s="96"/>
      <c r="H1122" s="97"/>
      <c r="I1122" s="96"/>
      <c r="J1122" s="96"/>
      <c r="K1122" s="107"/>
      <c r="L1122" s="107"/>
      <c r="M1122" s="102"/>
    </row>
    <row r="1123" spans="1:13">
      <c r="A1123" s="96"/>
      <c r="B1123" s="97"/>
      <c r="C1123" s="115"/>
      <c r="D1123" s="115"/>
      <c r="E1123" s="115"/>
      <c r="F1123" s="105"/>
      <c r="G1123" s="96"/>
      <c r="H1123" s="97"/>
      <c r="I1123" s="96"/>
      <c r="J1123" s="96"/>
      <c r="K1123" s="107"/>
      <c r="L1123" s="107"/>
      <c r="M1123" s="102"/>
    </row>
    <row r="1124" spans="1:13">
      <c r="A1124" s="96"/>
      <c r="B1124" s="97"/>
      <c r="C1124" s="115"/>
      <c r="D1124" s="115"/>
      <c r="E1124" s="115"/>
      <c r="F1124" s="105"/>
      <c r="G1124" s="96"/>
      <c r="H1124" s="97"/>
      <c r="I1124" s="96"/>
      <c r="J1124" s="96"/>
      <c r="K1124" s="107"/>
      <c r="L1124" s="107"/>
      <c r="M1124" s="102"/>
    </row>
    <row r="1125" spans="1:13">
      <c r="A1125" s="96"/>
      <c r="B1125" s="97"/>
      <c r="C1125" s="115"/>
      <c r="D1125" s="115"/>
      <c r="E1125" s="115"/>
      <c r="F1125" s="105"/>
      <c r="G1125" s="96"/>
      <c r="H1125" s="97"/>
      <c r="I1125" s="96"/>
      <c r="J1125" s="96"/>
      <c r="K1125" s="107"/>
      <c r="L1125" s="107"/>
      <c r="M1125" s="102"/>
    </row>
    <row r="1126" spans="1:13">
      <c r="A1126" s="96"/>
      <c r="B1126" s="97"/>
      <c r="C1126" s="115"/>
      <c r="D1126" s="115"/>
      <c r="E1126" s="115"/>
      <c r="F1126" s="105"/>
      <c r="G1126" s="96"/>
      <c r="H1126" s="97"/>
      <c r="I1126" s="96"/>
      <c r="J1126" s="96"/>
      <c r="K1126" s="107"/>
      <c r="L1126" s="107"/>
      <c r="M1126" s="102"/>
    </row>
    <row r="1127" spans="1:13">
      <c r="A1127" s="96"/>
      <c r="B1127" s="97"/>
      <c r="C1127" s="115"/>
      <c r="D1127" s="115"/>
      <c r="E1127" s="115"/>
      <c r="F1127" s="105"/>
      <c r="G1127" s="96"/>
      <c r="H1127" s="97"/>
      <c r="I1127" s="96"/>
      <c r="J1127" s="96"/>
      <c r="K1127" s="107"/>
      <c r="L1127" s="107"/>
      <c r="M1127" s="102"/>
    </row>
    <row r="1128" spans="1:13">
      <c r="A1128" s="96"/>
      <c r="B1128" s="97"/>
      <c r="C1128" s="115"/>
      <c r="D1128" s="115"/>
      <c r="E1128" s="115"/>
      <c r="F1128" s="105"/>
      <c r="G1128" s="96"/>
      <c r="H1128" s="97"/>
      <c r="I1128" s="96"/>
      <c r="J1128" s="96"/>
      <c r="K1128" s="107"/>
      <c r="L1128" s="107"/>
      <c r="M1128" s="102"/>
    </row>
    <row r="1129" spans="1:13">
      <c r="A1129" s="96"/>
      <c r="B1129" s="97"/>
      <c r="C1129" s="115"/>
      <c r="D1129" s="115"/>
      <c r="E1129" s="115"/>
      <c r="F1129" s="105"/>
      <c r="G1129" s="96"/>
      <c r="H1129" s="97"/>
      <c r="I1129" s="96"/>
      <c r="J1129" s="96"/>
      <c r="K1129" s="107"/>
      <c r="L1129" s="107"/>
      <c r="M1129" s="102"/>
    </row>
    <row r="1130" spans="1:13">
      <c r="A1130" s="96"/>
      <c r="B1130" s="97"/>
      <c r="C1130" s="115"/>
      <c r="D1130" s="115"/>
      <c r="E1130" s="115"/>
      <c r="F1130" s="105"/>
      <c r="G1130" s="96"/>
      <c r="H1130" s="97"/>
      <c r="I1130" s="96"/>
      <c r="J1130" s="96"/>
      <c r="K1130" s="107"/>
      <c r="L1130" s="107"/>
      <c r="M1130" s="102"/>
    </row>
    <row r="1131" spans="1:13">
      <c r="A1131" s="96"/>
      <c r="B1131" s="97"/>
      <c r="C1131" s="115"/>
      <c r="D1131" s="115"/>
      <c r="E1131" s="115"/>
      <c r="F1131" s="105"/>
      <c r="G1131" s="96"/>
      <c r="H1131" s="97"/>
      <c r="I1131" s="96"/>
      <c r="J1131" s="96"/>
      <c r="K1131" s="107"/>
      <c r="L1131" s="107"/>
      <c r="M1131" s="102"/>
    </row>
    <row r="1132" spans="1:13">
      <c r="A1132" s="96"/>
      <c r="B1132" s="97"/>
      <c r="C1132" s="115"/>
      <c r="D1132" s="115"/>
      <c r="E1132" s="115"/>
      <c r="F1132" s="105"/>
      <c r="G1132" s="96"/>
      <c r="H1132" s="97"/>
      <c r="I1132" s="96"/>
      <c r="J1132" s="96"/>
      <c r="K1132" s="107"/>
      <c r="L1132" s="107"/>
      <c r="M1132" s="102"/>
    </row>
    <row r="1133" spans="1:13">
      <c r="A1133" s="96"/>
      <c r="B1133" s="97"/>
      <c r="C1133" s="115"/>
      <c r="D1133" s="115"/>
      <c r="E1133" s="115"/>
      <c r="F1133" s="105"/>
      <c r="G1133" s="96"/>
      <c r="H1133" s="97"/>
      <c r="I1133" s="96"/>
      <c r="J1133" s="96"/>
      <c r="K1133" s="107"/>
      <c r="L1133" s="107"/>
      <c r="M1133" s="102"/>
    </row>
    <row r="1134" spans="1:13">
      <c r="A1134" s="96"/>
      <c r="B1134" s="97"/>
      <c r="C1134" s="115"/>
      <c r="D1134" s="115"/>
      <c r="E1134" s="115"/>
      <c r="F1134" s="105"/>
      <c r="G1134" s="96"/>
      <c r="H1134" s="97"/>
      <c r="I1134" s="96"/>
      <c r="J1134" s="96"/>
      <c r="K1134" s="107"/>
      <c r="L1134" s="107"/>
      <c r="M1134" s="102"/>
    </row>
    <row r="1135" spans="1:13">
      <c r="A1135" s="96"/>
      <c r="B1135" s="97"/>
      <c r="C1135" s="115"/>
      <c r="D1135" s="115"/>
      <c r="E1135" s="115"/>
      <c r="F1135" s="105"/>
      <c r="G1135" s="96"/>
      <c r="H1135" s="97"/>
      <c r="I1135" s="96"/>
      <c r="J1135" s="96"/>
      <c r="K1135" s="107"/>
      <c r="L1135" s="107"/>
      <c r="M1135" s="102"/>
    </row>
    <row r="1136" spans="1:13">
      <c r="A1136" s="96"/>
      <c r="B1136" s="97"/>
      <c r="C1136" s="115"/>
      <c r="D1136" s="115"/>
      <c r="E1136" s="115"/>
      <c r="F1136" s="105"/>
      <c r="G1136" s="96"/>
      <c r="H1136" s="97"/>
      <c r="I1136" s="96"/>
      <c r="J1136" s="96"/>
      <c r="K1136" s="107"/>
      <c r="L1136" s="107"/>
      <c r="M1136" s="102"/>
    </row>
    <row r="1137" spans="1:13">
      <c r="A1137" s="96"/>
      <c r="B1137" s="97"/>
      <c r="C1137" s="115"/>
      <c r="D1137" s="115"/>
      <c r="E1137" s="115"/>
      <c r="F1137" s="105"/>
      <c r="G1137" s="96"/>
      <c r="H1137" s="97"/>
      <c r="I1137" s="96"/>
      <c r="J1137" s="96"/>
      <c r="K1137" s="107"/>
      <c r="L1137" s="107"/>
      <c r="M1137" s="102"/>
    </row>
    <row r="1138" spans="1:13">
      <c r="A1138" s="96"/>
      <c r="B1138" s="97"/>
      <c r="C1138" s="115"/>
      <c r="D1138" s="115"/>
      <c r="E1138" s="115"/>
      <c r="F1138" s="105"/>
      <c r="G1138" s="96"/>
      <c r="H1138" s="97"/>
      <c r="I1138" s="96"/>
      <c r="J1138" s="96"/>
      <c r="K1138" s="107"/>
      <c r="L1138" s="107"/>
      <c r="M1138" s="102"/>
    </row>
    <row r="1139" spans="1:13">
      <c r="A1139" s="96"/>
      <c r="B1139" s="97"/>
      <c r="C1139" s="115"/>
      <c r="D1139" s="115"/>
      <c r="E1139" s="115"/>
      <c r="F1139" s="105"/>
      <c r="G1139" s="96"/>
      <c r="H1139" s="97"/>
      <c r="I1139" s="96"/>
      <c r="J1139" s="96"/>
      <c r="K1139" s="107"/>
      <c r="L1139" s="107"/>
      <c r="M1139" s="102"/>
    </row>
    <row r="1140" spans="1:13">
      <c r="A1140" s="96"/>
      <c r="B1140" s="97"/>
      <c r="C1140" s="115"/>
      <c r="D1140" s="115"/>
      <c r="E1140" s="115"/>
      <c r="F1140" s="105"/>
      <c r="G1140" s="96"/>
      <c r="H1140" s="97"/>
      <c r="I1140" s="96"/>
      <c r="J1140" s="96"/>
      <c r="K1140" s="107"/>
      <c r="L1140" s="107"/>
      <c r="M1140" s="102"/>
    </row>
    <row r="1141" spans="1:13">
      <c r="A1141" s="96"/>
      <c r="B1141" s="97"/>
      <c r="C1141" s="115"/>
      <c r="D1141" s="115"/>
      <c r="E1141" s="115"/>
      <c r="F1141" s="105"/>
      <c r="G1141" s="96"/>
      <c r="H1141" s="97"/>
      <c r="I1141" s="96"/>
      <c r="J1141" s="96"/>
      <c r="K1141" s="107"/>
      <c r="L1141" s="107"/>
      <c r="M1141" s="102"/>
    </row>
    <row r="1142" spans="1:13">
      <c r="A1142" s="96"/>
      <c r="B1142" s="97"/>
      <c r="C1142" s="115"/>
      <c r="D1142" s="115"/>
      <c r="E1142" s="115"/>
      <c r="F1142" s="105"/>
      <c r="G1142" s="96"/>
      <c r="H1142" s="97"/>
      <c r="I1142" s="96"/>
      <c r="J1142" s="96"/>
      <c r="K1142" s="107"/>
      <c r="L1142" s="107"/>
      <c r="M1142" s="102"/>
    </row>
    <row r="1143" spans="1:13">
      <c r="A1143" s="96"/>
      <c r="B1143" s="97"/>
      <c r="C1143" s="115"/>
      <c r="D1143" s="115"/>
      <c r="E1143" s="115"/>
      <c r="F1143" s="105"/>
      <c r="G1143" s="96"/>
      <c r="H1143" s="97"/>
      <c r="I1143" s="96"/>
      <c r="J1143" s="96"/>
      <c r="K1143" s="107"/>
      <c r="L1143" s="107"/>
      <c r="M1143" s="102"/>
    </row>
    <row r="1144" spans="1:13">
      <c r="A1144" s="96"/>
      <c r="B1144" s="97"/>
      <c r="C1144" s="115"/>
      <c r="D1144" s="115"/>
      <c r="E1144" s="115"/>
      <c r="F1144" s="105"/>
      <c r="G1144" s="96"/>
      <c r="H1144" s="97"/>
      <c r="I1144" s="96"/>
      <c r="J1144" s="96"/>
      <c r="K1144" s="107"/>
      <c r="L1144" s="107"/>
      <c r="M1144" s="102"/>
    </row>
    <row r="1145" spans="1:13">
      <c r="A1145" s="96"/>
      <c r="B1145" s="97"/>
      <c r="C1145" s="115"/>
      <c r="D1145" s="115"/>
      <c r="E1145" s="115"/>
      <c r="F1145" s="105"/>
      <c r="G1145" s="96"/>
      <c r="H1145" s="97"/>
      <c r="I1145" s="96"/>
      <c r="J1145" s="96"/>
      <c r="K1145" s="107"/>
      <c r="L1145" s="107"/>
      <c r="M1145" s="102"/>
    </row>
    <row r="1146" spans="1:13">
      <c r="A1146" s="96"/>
      <c r="B1146" s="97"/>
      <c r="C1146" s="115"/>
      <c r="D1146" s="115"/>
      <c r="E1146" s="115"/>
      <c r="F1146" s="105"/>
      <c r="G1146" s="96"/>
      <c r="H1146" s="97"/>
      <c r="I1146" s="96"/>
      <c r="J1146" s="96"/>
      <c r="K1146" s="107"/>
      <c r="L1146" s="107"/>
      <c r="M1146" s="102"/>
    </row>
    <row r="1147" spans="1:13">
      <c r="A1147" s="96"/>
      <c r="B1147" s="97"/>
      <c r="C1147" s="115"/>
      <c r="D1147" s="115"/>
      <c r="E1147" s="115"/>
      <c r="F1147" s="105"/>
      <c r="G1147" s="96"/>
      <c r="H1147" s="97"/>
      <c r="I1147" s="96"/>
      <c r="J1147" s="96"/>
      <c r="K1147" s="107"/>
      <c r="L1147" s="107"/>
      <c r="M1147" s="102"/>
    </row>
    <row r="1148" spans="1:13">
      <c r="A1148" s="96"/>
      <c r="B1148" s="97"/>
      <c r="C1148" s="115"/>
      <c r="D1148" s="115"/>
      <c r="E1148" s="115"/>
      <c r="F1148" s="105"/>
      <c r="G1148" s="96"/>
      <c r="H1148" s="97"/>
      <c r="I1148" s="96"/>
      <c r="J1148" s="96"/>
      <c r="K1148" s="107"/>
      <c r="L1148" s="107"/>
      <c r="M1148" s="102"/>
    </row>
    <row r="1149" spans="1:13">
      <c r="A1149" s="96"/>
      <c r="B1149" s="97"/>
      <c r="C1149" s="115"/>
      <c r="D1149" s="115"/>
      <c r="E1149" s="115"/>
      <c r="F1149" s="105"/>
      <c r="G1149" s="96"/>
      <c r="H1149" s="97"/>
      <c r="I1149" s="96"/>
      <c r="J1149" s="96"/>
      <c r="K1149" s="107"/>
      <c r="L1149" s="107"/>
      <c r="M1149" s="102"/>
    </row>
    <row r="1150" spans="1:13">
      <c r="A1150" s="96"/>
      <c r="B1150" s="97"/>
      <c r="C1150" s="115"/>
      <c r="D1150" s="115"/>
      <c r="E1150" s="115"/>
      <c r="F1150" s="105"/>
      <c r="G1150" s="96"/>
      <c r="H1150" s="97"/>
      <c r="I1150" s="96"/>
      <c r="J1150" s="96"/>
      <c r="K1150" s="107"/>
      <c r="L1150" s="107"/>
      <c r="M1150" s="102"/>
    </row>
    <row r="1151" spans="1:13">
      <c r="A1151" s="96"/>
      <c r="B1151" s="97"/>
      <c r="C1151" s="115"/>
      <c r="D1151" s="115"/>
      <c r="E1151" s="115"/>
      <c r="F1151" s="105"/>
      <c r="G1151" s="96"/>
      <c r="H1151" s="97"/>
      <c r="I1151" s="96"/>
      <c r="J1151" s="96"/>
      <c r="K1151" s="107"/>
      <c r="L1151" s="107"/>
      <c r="M1151" s="102"/>
    </row>
    <row r="1152" spans="1:13">
      <c r="A1152" s="96"/>
      <c r="B1152" s="97"/>
      <c r="C1152" s="115"/>
      <c r="D1152" s="115"/>
      <c r="E1152" s="115"/>
      <c r="F1152" s="105"/>
      <c r="G1152" s="96"/>
      <c r="H1152" s="97"/>
      <c r="I1152" s="96"/>
      <c r="J1152" s="96"/>
      <c r="K1152" s="107"/>
      <c r="L1152" s="107"/>
      <c r="M1152" s="102"/>
    </row>
    <row r="1153" spans="1:13">
      <c r="A1153" s="96"/>
      <c r="B1153" s="97"/>
      <c r="C1153" s="115"/>
      <c r="D1153" s="115"/>
      <c r="E1153" s="115"/>
      <c r="F1153" s="105"/>
      <c r="G1153" s="96"/>
      <c r="H1153" s="97"/>
      <c r="I1153" s="96"/>
      <c r="J1153" s="96"/>
      <c r="K1153" s="107"/>
      <c r="L1153" s="107"/>
      <c r="M1153" s="102"/>
    </row>
    <row r="1154" spans="1:13">
      <c r="A1154" s="96"/>
      <c r="B1154" s="97"/>
      <c r="C1154" s="115"/>
      <c r="D1154" s="115"/>
      <c r="E1154" s="115"/>
      <c r="F1154" s="105"/>
      <c r="G1154" s="96"/>
      <c r="H1154" s="97"/>
      <c r="I1154" s="96"/>
      <c r="J1154" s="96"/>
      <c r="K1154" s="107"/>
      <c r="L1154" s="107"/>
      <c r="M1154" s="102"/>
    </row>
    <row r="1155" spans="1:13">
      <c r="A1155" s="96"/>
      <c r="B1155" s="97"/>
      <c r="C1155" s="115"/>
      <c r="D1155" s="115"/>
      <c r="E1155" s="115"/>
      <c r="F1155" s="105"/>
      <c r="G1155" s="96"/>
      <c r="H1155" s="97"/>
      <c r="I1155" s="96"/>
      <c r="J1155" s="96"/>
      <c r="K1155" s="107"/>
      <c r="L1155" s="107"/>
      <c r="M1155" s="102"/>
    </row>
    <row r="1156" spans="1:13">
      <c r="A1156" s="96"/>
      <c r="B1156" s="97"/>
      <c r="C1156" s="115"/>
      <c r="D1156" s="115"/>
      <c r="E1156" s="115"/>
      <c r="F1156" s="105"/>
      <c r="G1156" s="96"/>
      <c r="H1156" s="97"/>
      <c r="I1156" s="96"/>
      <c r="J1156" s="96"/>
      <c r="K1156" s="107"/>
      <c r="L1156" s="107"/>
      <c r="M1156" s="102"/>
    </row>
    <row r="1157" spans="1:13">
      <c r="A1157" s="96"/>
      <c r="B1157" s="97"/>
      <c r="C1157" s="115"/>
      <c r="D1157" s="115"/>
      <c r="E1157" s="115"/>
      <c r="F1157" s="105"/>
      <c r="G1157" s="96"/>
      <c r="H1157" s="97"/>
      <c r="I1157" s="96"/>
      <c r="J1157" s="96"/>
      <c r="K1157" s="107"/>
      <c r="L1157" s="107"/>
      <c r="M1157" s="102"/>
    </row>
    <row r="1158" spans="1:13">
      <c r="A1158" s="96"/>
      <c r="B1158" s="97"/>
      <c r="C1158" s="115"/>
      <c r="D1158" s="115"/>
      <c r="E1158" s="115"/>
      <c r="F1158" s="105"/>
      <c r="G1158" s="96"/>
      <c r="H1158" s="97"/>
      <c r="I1158" s="96"/>
      <c r="J1158" s="96"/>
      <c r="K1158" s="107"/>
      <c r="L1158" s="107"/>
      <c r="M1158" s="102"/>
    </row>
    <row r="1159" spans="1:13">
      <c r="A1159" s="96"/>
      <c r="B1159" s="97"/>
      <c r="C1159" s="115"/>
      <c r="D1159" s="115"/>
      <c r="E1159" s="115"/>
      <c r="F1159" s="105"/>
      <c r="G1159" s="96"/>
      <c r="H1159" s="97"/>
      <c r="I1159" s="96"/>
      <c r="J1159" s="96"/>
      <c r="K1159" s="107"/>
      <c r="L1159" s="107"/>
      <c r="M1159" s="102"/>
    </row>
    <row r="1160" spans="1:13">
      <c r="A1160" s="96"/>
      <c r="B1160" s="97"/>
      <c r="C1160" s="115"/>
      <c r="D1160" s="115"/>
      <c r="E1160" s="115"/>
      <c r="F1160" s="105"/>
      <c r="G1160" s="96"/>
      <c r="H1160" s="97"/>
      <c r="I1160" s="96"/>
      <c r="J1160" s="96"/>
      <c r="K1160" s="107"/>
      <c r="L1160" s="107"/>
      <c r="M1160" s="102"/>
    </row>
    <row r="1161" spans="1:13">
      <c r="A1161" s="96"/>
      <c r="B1161" s="97"/>
      <c r="C1161" s="115"/>
      <c r="D1161" s="115"/>
      <c r="E1161" s="115"/>
      <c r="F1161" s="105"/>
      <c r="G1161" s="96"/>
      <c r="H1161" s="97"/>
      <c r="I1161" s="96"/>
      <c r="J1161" s="96"/>
      <c r="K1161" s="107"/>
      <c r="L1161" s="107"/>
      <c r="M1161" s="102"/>
    </row>
    <row r="1162" spans="1:13">
      <c r="A1162" s="96"/>
      <c r="B1162" s="97"/>
      <c r="C1162" s="115"/>
      <c r="D1162" s="115"/>
      <c r="E1162" s="115"/>
      <c r="F1162" s="105"/>
      <c r="G1162" s="96"/>
      <c r="H1162" s="97"/>
      <c r="I1162" s="96"/>
      <c r="J1162" s="96"/>
      <c r="K1162" s="107"/>
      <c r="L1162" s="107"/>
      <c r="M1162" s="102"/>
    </row>
    <row r="1163" spans="1:13">
      <c r="A1163" s="96"/>
      <c r="B1163" s="97"/>
      <c r="C1163" s="115"/>
      <c r="D1163" s="115"/>
      <c r="E1163" s="115"/>
      <c r="F1163" s="105"/>
      <c r="G1163" s="96"/>
      <c r="H1163" s="97"/>
      <c r="I1163" s="96"/>
      <c r="J1163" s="96"/>
      <c r="K1163" s="107"/>
      <c r="L1163" s="107"/>
      <c r="M1163" s="102"/>
    </row>
    <row r="1164" spans="1:13">
      <c r="A1164" s="96"/>
      <c r="B1164" s="97"/>
      <c r="C1164" s="115"/>
      <c r="D1164" s="115"/>
      <c r="E1164" s="115"/>
      <c r="F1164" s="105"/>
      <c r="G1164" s="96"/>
      <c r="H1164" s="97"/>
      <c r="I1164" s="96"/>
      <c r="J1164" s="96"/>
      <c r="K1164" s="107"/>
      <c r="L1164" s="107"/>
      <c r="M1164" s="102"/>
    </row>
    <row r="1165" spans="1:13">
      <c r="A1165" s="96"/>
      <c r="B1165" s="97"/>
      <c r="C1165" s="115"/>
      <c r="D1165" s="115"/>
      <c r="E1165" s="115"/>
      <c r="F1165" s="105"/>
      <c r="G1165" s="96"/>
      <c r="H1165" s="97"/>
      <c r="I1165" s="96"/>
      <c r="J1165" s="96"/>
      <c r="K1165" s="107"/>
      <c r="L1165" s="107"/>
      <c r="M1165" s="102"/>
    </row>
    <row r="1166" spans="1:13">
      <c r="A1166" s="96"/>
      <c r="B1166" s="97"/>
      <c r="C1166" s="115"/>
      <c r="D1166" s="115"/>
      <c r="E1166" s="115"/>
      <c r="F1166" s="105"/>
      <c r="G1166" s="96"/>
      <c r="H1166" s="97"/>
      <c r="I1166" s="96"/>
      <c r="J1166" s="96"/>
      <c r="K1166" s="107"/>
      <c r="L1166" s="107"/>
      <c r="M1166" s="102"/>
    </row>
    <row r="1167" spans="1:13">
      <c r="A1167" s="96"/>
      <c r="B1167" s="97"/>
      <c r="C1167" s="115"/>
      <c r="D1167" s="115"/>
      <c r="E1167" s="115"/>
      <c r="F1167" s="105"/>
      <c r="G1167" s="96"/>
      <c r="H1167" s="97"/>
      <c r="I1167" s="96"/>
      <c r="J1167" s="96"/>
      <c r="K1167" s="107"/>
      <c r="L1167" s="107"/>
      <c r="M1167" s="102"/>
    </row>
    <row r="1168" spans="1:13">
      <c r="A1168" s="96"/>
      <c r="B1168" s="97"/>
      <c r="C1168" s="115"/>
      <c r="D1168" s="115"/>
      <c r="E1168" s="115"/>
      <c r="F1168" s="105"/>
      <c r="G1168" s="96"/>
      <c r="H1168" s="97"/>
      <c r="I1168" s="96"/>
      <c r="J1168" s="96"/>
      <c r="K1168" s="107"/>
      <c r="L1168" s="107"/>
      <c r="M1168" s="102"/>
    </row>
    <row r="1169" spans="1:13">
      <c r="A1169" s="96"/>
      <c r="B1169" s="97"/>
      <c r="C1169" s="115"/>
      <c r="D1169" s="115"/>
      <c r="E1169" s="115"/>
      <c r="F1169" s="105"/>
      <c r="G1169" s="96"/>
      <c r="H1169" s="97"/>
      <c r="I1169" s="96"/>
      <c r="J1169" s="96"/>
      <c r="K1169" s="107"/>
      <c r="L1169" s="107"/>
      <c r="M1169" s="102"/>
    </row>
    <row r="1170" spans="1:13">
      <c r="A1170" s="96"/>
      <c r="B1170" s="97"/>
      <c r="C1170" s="115"/>
      <c r="D1170" s="115"/>
      <c r="E1170" s="115"/>
      <c r="F1170" s="105"/>
      <c r="G1170" s="96"/>
      <c r="H1170" s="97"/>
      <c r="I1170" s="96"/>
      <c r="J1170" s="96"/>
      <c r="K1170" s="107"/>
      <c r="L1170" s="107"/>
      <c r="M1170" s="102"/>
    </row>
    <row r="1171" spans="1:13">
      <c r="A1171" s="96"/>
      <c r="B1171" s="97"/>
      <c r="C1171" s="115"/>
      <c r="D1171" s="115"/>
      <c r="E1171" s="115"/>
      <c r="F1171" s="105"/>
      <c r="G1171" s="96"/>
      <c r="H1171" s="97"/>
      <c r="I1171" s="96"/>
      <c r="J1171" s="96"/>
      <c r="K1171" s="107"/>
      <c r="L1171" s="107"/>
      <c r="M1171" s="102"/>
    </row>
    <row r="1172" spans="1:13">
      <c r="A1172" s="96"/>
      <c r="B1172" s="97"/>
      <c r="C1172" s="115"/>
      <c r="D1172" s="115"/>
      <c r="E1172" s="115"/>
      <c r="F1172" s="105"/>
      <c r="G1172" s="96"/>
      <c r="H1172" s="97"/>
      <c r="I1172" s="96"/>
      <c r="J1172" s="96"/>
      <c r="K1172" s="107"/>
      <c r="L1172" s="107"/>
      <c r="M1172" s="102"/>
    </row>
    <row r="1173" spans="1:13">
      <c r="A1173" s="96"/>
      <c r="B1173" s="97"/>
      <c r="C1173" s="115"/>
      <c r="D1173" s="115"/>
      <c r="E1173" s="115"/>
      <c r="F1173" s="105"/>
      <c r="G1173" s="96"/>
      <c r="H1173" s="97"/>
      <c r="I1173" s="96"/>
      <c r="J1173" s="96"/>
      <c r="K1173" s="107"/>
      <c r="L1173" s="107"/>
      <c r="M1173" s="102"/>
    </row>
    <row r="1174" spans="1:13">
      <c r="A1174" s="96"/>
      <c r="B1174" s="97"/>
      <c r="C1174" s="115"/>
      <c r="D1174" s="115"/>
      <c r="E1174" s="115"/>
      <c r="F1174" s="105"/>
      <c r="G1174" s="96"/>
      <c r="H1174" s="97"/>
      <c r="I1174" s="96"/>
      <c r="J1174" s="96"/>
      <c r="K1174" s="107"/>
      <c r="L1174" s="107"/>
      <c r="M1174" s="102"/>
    </row>
    <row r="1175" spans="1:13">
      <c r="A1175" s="96"/>
      <c r="B1175" s="97"/>
      <c r="C1175" s="115"/>
      <c r="D1175" s="115"/>
      <c r="E1175" s="115"/>
      <c r="F1175" s="105"/>
      <c r="G1175" s="96"/>
      <c r="H1175" s="97"/>
      <c r="I1175" s="96"/>
      <c r="J1175" s="96"/>
      <c r="K1175" s="107"/>
      <c r="L1175" s="107"/>
      <c r="M1175" s="102"/>
    </row>
    <row r="1176" spans="1:13">
      <c r="A1176" s="96"/>
      <c r="B1176" s="97"/>
      <c r="C1176" s="115"/>
      <c r="D1176" s="115"/>
      <c r="E1176" s="115"/>
      <c r="F1176" s="105"/>
      <c r="G1176" s="96"/>
      <c r="H1176" s="97"/>
      <c r="I1176" s="96"/>
      <c r="J1176" s="96"/>
      <c r="K1176" s="107"/>
      <c r="L1176" s="107"/>
      <c r="M1176" s="102"/>
    </row>
    <row r="1177" spans="1:13">
      <c r="A1177" s="96"/>
      <c r="B1177" s="97"/>
      <c r="C1177" s="115"/>
      <c r="D1177" s="115"/>
      <c r="E1177" s="115"/>
      <c r="F1177" s="105"/>
      <c r="G1177" s="96"/>
      <c r="H1177" s="97"/>
      <c r="I1177" s="96"/>
      <c r="J1177" s="96"/>
      <c r="K1177" s="107"/>
      <c r="L1177" s="107"/>
      <c r="M1177" s="102"/>
    </row>
    <row r="1178" spans="1:13">
      <c r="A1178" s="96"/>
      <c r="B1178" s="97"/>
      <c r="C1178" s="115"/>
      <c r="D1178" s="115"/>
      <c r="E1178" s="115"/>
      <c r="F1178" s="105"/>
      <c r="G1178" s="96"/>
      <c r="H1178" s="97"/>
      <c r="I1178" s="96"/>
      <c r="J1178" s="96"/>
      <c r="K1178" s="107"/>
      <c r="L1178" s="107"/>
      <c r="M1178" s="102"/>
    </row>
    <row r="1179" spans="1:13">
      <c r="A1179" s="96"/>
      <c r="B1179" s="97"/>
      <c r="C1179" s="115"/>
      <c r="D1179" s="115"/>
      <c r="E1179" s="115"/>
      <c r="F1179" s="105"/>
      <c r="G1179" s="96"/>
      <c r="H1179" s="97"/>
      <c r="I1179" s="96"/>
      <c r="J1179" s="96"/>
      <c r="K1179" s="107"/>
      <c r="L1179" s="107"/>
      <c r="M1179" s="102"/>
    </row>
    <row r="1180" spans="1:13">
      <c r="A1180" s="96"/>
      <c r="B1180" s="97"/>
      <c r="C1180" s="115"/>
      <c r="D1180" s="115"/>
      <c r="E1180" s="115"/>
      <c r="F1180" s="105"/>
      <c r="G1180" s="96"/>
      <c r="H1180" s="97"/>
      <c r="I1180" s="96"/>
      <c r="J1180" s="96"/>
      <c r="K1180" s="107"/>
      <c r="L1180" s="107"/>
      <c r="M1180" s="102"/>
    </row>
    <row r="1181" spans="1:13">
      <c r="A1181" s="96"/>
      <c r="B1181" s="97"/>
      <c r="C1181" s="115"/>
      <c r="D1181" s="115"/>
      <c r="E1181" s="115"/>
      <c r="F1181" s="105"/>
      <c r="G1181" s="96"/>
      <c r="H1181" s="97"/>
      <c r="I1181" s="96"/>
      <c r="J1181" s="96"/>
      <c r="K1181" s="107"/>
      <c r="L1181" s="107"/>
      <c r="M1181" s="102"/>
    </row>
    <row r="1182" spans="1:13">
      <c r="A1182" s="96"/>
      <c r="B1182" s="97"/>
      <c r="C1182" s="115"/>
      <c r="D1182" s="115"/>
      <c r="E1182" s="115"/>
      <c r="F1182" s="105"/>
      <c r="G1182" s="96"/>
      <c r="H1182" s="97"/>
      <c r="I1182" s="96"/>
      <c r="J1182" s="96"/>
      <c r="K1182" s="107"/>
      <c r="L1182" s="107"/>
      <c r="M1182" s="102"/>
    </row>
    <row r="1183" spans="1:13">
      <c r="A1183" s="96"/>
      <c r="B1183" s="97"/>
      <c r="C1183" s="115"/>
      <c r="D1183" s="115"/>
      <c r="E1183" s="115"/>
      <c r="F1183" s="105"/>
      <c r="G1183" s="96"/>
      <c r="H1183" s="97"/>
      <c r="I1183" s="96"/>
      <c r="J1183" s="96"/>
      <c r="K1183" s="107"/>
      <c r="L1183" s="107"/>
      <c r="M1183" s="102"/>
    </row>
    <row r="1184" spans="1:13">
      <c r="A1184" s="96"/>
      <c r="B1184" s="97"/>
      <c r="C1184" s="115"/>
      <c r="D1184" s="115"/>
      <c r="E1184" s="115"/>
      <c r="F1184" s="105"/>
      <c r="G1184" s="96"/>
      <c r="H1184" s="97"/>
      <c r="I1184" s="96"/>
      <c r="J1184" s="96"/>
      <c r="K1184" s="107"/>
      <c r="L1184" s="107"/>
      <c r="M1184" s="102"/>
    </row>
    <row r="1185" spans="1:13">
      <c r="A1185" s="96"/>
      <c r="B1185" s="97"/>
      <c r="C1185" s="115"/>
      <c r="D1185" s="115"/>
      <c r="E1185" s="115"/>
      <c r="F1185" s="105"/>
      <c r="G1185" s="96"/>
      <c r="H1185" s="97"/>
      <c r="I1185" s="96"/>
      <c r="J1185" s="96"/>
      <c r="K1185" s="107"/>
      <c r="L1185" s="107"/>
      <c r="M1185" s="102"/>
    </row>
    <row r="1186" spans="1:13">
      <c r="A1186" s="96"/>
      <c r="B1186" s="97"/>
      <c r="C1186" s="115"/>
      <c r="D1186" s="115"/>
      <c r="E1186" s="115"/>
      <c r="F1186" s="105"/>
      <c r="G1186" s="96"/>
      <c r="H1186" s="97"/>
      <c r="I1186" s="96"/>
      <c r="J1186" s="96"/>
      <c r="K1186" s="107"/>
      <c r="L1186" s="107"/>
      <c r="M1186" s="102"/>
    </row>
    <row r="1187" spans="1:13">
      <c r="A1187" s="96"/>
      <c r="B1187" s="97"/>
      <c r="C1187" s="115"/>
      <c r="D1187" s="115"/>
      <c r="E1187" s="115"/>
      <c r="F1187" s="105"/>
      <c r="G1187" s="96"/>
      <c r="H1187" s="97"/>
      <c r="I1187" s="96"/>
      <c r="J1187" s="96"/>
      <c r="K1187" s="107"/>
      <c r="L1187" s="107"/>
      <c r="M1187" s="102"/>
    </row>
    <row r="1188" spans="1:13">
      <c r="A1188" s="96"/>
      <c r="B1188" s="97"/>
      <c r="C1188" s="115"/>
      <c r="D1188" s="115"/>
      <c r="E1188" s="115"/>
      <c r="F1188" s="105"/>
      <c r="G1188" s="96"/>
      <c r="H1188" s="97"/>
      <c r="I1188" s="96"/>
      <c r="J1188" s="96"/>
      <c r="K1188" s="107"/>
      <c r="L1188" s="107"/>
      <c r="M1188" s="102"/>
    </row>
    <row r="1189" spans="1:13">
      <c r="A1189" s="96"/>
      <c r="B1189" s="97"/>
      <c r="C1189" s="115"/>
      <c r="D1189" s="115"/>
      <c r="E1189" s="115"/>
      <c r="F1189" s="105"/>
      <c r="G1189" s="96"/>
      <c r="H1189" s="97"/>
      <c r="I1189" s="96"/>
      <c r="J1189" s="96"/>
      <c r="K1189" s="107"/>
      <c r="L1189" s="107"/>
      <c r="M1189" s="102"/>
    </row>
    <row r="1190" spans="1:13">
      <c r="A1190" s="96"/>
      <c r="B1190" s="97"/>
      <c r="C1190" s="115"/>
      <c r="D1190" s="115"/>
      <c r="E1190" s="115"/>
      <c r="F1190" s="105"/>
      <c r="G1190" s="96"/>
      <c r="H1190" s="97"/>
      <c r="I1190" s="96"/>
      <c r="J1190" s="96"/>
      <c r="K1190" s="107"/>
      <c r="L1190" s="107"/>
      <c r="M1190" s="102"/>
    </row>
    <row r="1191" spans="1:13">
      <c r="A1191" s="96"/>
      <c r="B1191" s="97"/>
      <c r="C1191" s="115"/>
      <c r="D1191" s="115"/>
      <c r="E1191" s="115"/>
      <c r="F1191" s="105"/>
      <c r="G1191" s="96"/>
      <c r="H1191" s="97"/>
      <c r="I1191" s="96"/>
      <c r="J1191" s="96"/>
      <c r="K1191" s="107"/>
      <c r="L1191" s="107"/>
      <c r="M1191" s="102"/>
    </row>
    <row r="1192" spans="1:13">
      <c r="A1192" s="96"/>
      <c r="B1192" s="97"/>
      <c r="C1192" s="115"/>
      <c r="D1192" s="115"/>
      <c r="E1192" s="115"/>
      <c r="F1192" s="105"/>
      <c r="G1192" s="96"/>
      <c r="H1192" s="97"/>
      <c r="I1192" s="96"/>
      <c r="J1192" s="96"/>
      <c r="K1192" s="107"/>
      <c r="L1192" s="107"/>
      <c r="M1192" s="102"/>
    </row>
    <row r="1193" spans="1:13">
      <c r="A1193" s="96"/>
      <c r="B1193" s="97"/>
      <c r="C1193" s="115"/>
      <c r="D1193" s="115"/>
      <c r="E1193" s="115"/>
      <c r="F1193" s="105"/>
      <c r="G1193" s="96"/>
      <c r="H1193" s="97"/>
      <c r="I1193" s="96"/>
      <c r="J1193" s="96"/>
      <c r="K1193" s="107"/>
      <c r="L1193" s="107"/>
      <c r="M1193" s="102"/>
    </row>
    <row r="1194" spans="1:13">
      <c r="A1194" s="96"/>
      <c r="B1194" s="97"/>
      <c r="C1194" s="115"/>
      <c r="D1194" s="115"/>
      <c r="E1194" s="115"/>
      <c r="F1194" s="105"/>
      <c r="G1194" s="96"/>
      <c r="H1194" s="97"/>
      <c r="I1194" s="96"/>
      <c r="J1194" s="96"/>
      <c r="K1194" s="107"/>
      <c r="L1194" s="107"/>
      <c r="M1194" s="102"/>
    </row>
    <row r="1195" spans="1:13">
      <c r="A1195" s="96"/>
      <c r="B1195" s="97"/>
      <c r="C1195" s="115"/>
      <c r="D1195" s="115"/>
      <c r="E1195" s="115"/>
      <c r="F1195" s="105"/>
      <c r="G1195" s="96"/>
      <c r="H1195" s="97"/>
      <c r="I1195" s="96"/>
      <c r="J1195" s="96"/>
      <c r="K1195" s="107"/>
      <c r="L1195" s="107"/>
      <c r="M1195" s="102"/>
    </row>
    <row r="1196" spans="1:13">
      <c r="A1196" s="96"/>
      <c r="B1196" s="97"/>
      <c r="C1196" s="115"/>
      <c r="D1196" s="115"/>
      <c r="E1196" s="115"/>
      <c r="F1196" s="105"/>
      <c r="G1196" s="96"/>
      <c r="H1196" s="97"/>
      <c r="I1196" s="96"/>
      <c r="J1196" s="96"/>
      <c r="K1196" s="107"/>
      <c r="L1196" s="107"/>
      <c r="M1196" s="102"/>
    </row>
    <row r="1197" spans="1:13">
      <c r="A1197" s="96"/>
      <c r="B1197" s="97"/>
      <c r="C1197" s="115"/>
      <c r="D1197" s="115"/>
      <c r="E1197" s="115"/>
      <c r="F1197" s="105"/>
      <c r="G1197" s="96"/>
      <c r="H1197" s="97"/>
      <c r="I1197" s="96"/>
      <c r="J1197" s="96"/>
      <c r="K1197" s="107"/>
      <c r="L1197" s="107"/>
      <c r="M1197" s="102"/>
    </row>
    <row r="1198" spans="1:13">
      <c r="A1198" s="96"/>
      <c r="B1198" s="97"/>
      <c r="C1198" s="115"/>
      <c r="D1198" s="115"/>
      <c r="E1198" s="115"/>
      <c r="F1198" s="105"/>
      <c r="G1198" s="96"/>
      <c r="H1198" s="97"/>
      <c r="I1198" s="96"/>
      <c r="J1198" s="96"/>
      <c r="K1198" s="107"/>
      <c r="L1198" s="107"/>
      <c r="M1198" s="102"/>
    </row>
    <row r="1199" spans="1:13">
      <c r="A1199" s="96"/>
      <c r="B1199" s="97"/>
      <c r="C1199" s="115"/>
      <c r="D1199" s="115"/>
      <c r="E1199" s="115"/>
      <c r="F1199" s="105"/>
      <c r="G1199" s="96"/>
      <c r="H1199" s="97"/>
      <c r="I1199" s="96"/>
      <c r="J1199" s="96"/>
      <c r="K1199" s="107"/>
      <c r="L1199" s="107"/>
      <c r="M1199" s="102"/>
    </row>
    <row r="1200" spans="1:13">
      <c r="A1200" s="96"/>
      <c r="B1200" s="97"/>
      <c r="C1200" s="115"/>
      <c r="D1200" s="115"/>
      <c r="E1200" s="115"/>
      <c r="F1200" s="105"/>
      <c r="G1200" s="96"/>
      <c r="H1200" s="97"/>
      <c r="I1200" s="96"/>
      <c r="J1200" s="96"/>
      <c r="K1200" s="107"/>
      <c r="L1200" s="107"/>
      <c r="M1200" s="102"/>
    </row>
    <row r="1201" spans="1:13">
      <c r="A1201" s="96"/>
      <c r="B1201" s="97"/>
      <c r="C1201" s="115"/>
      <c r="D1201" s="115"/>
      <c r="E1201" s="115"/>
      <c r="F1201" s="105"/>
      <c r="G1201" s="96"/>
      <c r="H1201" s="97"/>
      <c r="I1201" s="96"/>
      <c r="J1201" s="96"/>
      <c r="K1201" s="107"/>
      <c r="L1201" s="107"/>
      <c r="M1201" s="102"/>
    </row>
    <row r="1202" spans="1:13">
      <c r="A1202" s="96"/>
      <c r="B1202" s="97"/>
      <c r="C1202" s="115"/>
      <c r="D1202" s="115"/>
      <c r="E1202" s="115"/>
      <c r="F1202" s="105"/>
      <c r="G1202" s="96"/>
      <c r="H1202" s="97"/>
      <c r="I1202" s="96"/>
      <c r="J1202" s="96"/>
      <c r="K1202" s="107"/>
      <c r="L1202" s="107"/>
      <c r="M1202" s="102"/>
    </row>
    <row r="1203" spans="1:13">
      <c r="A1203" s="96"/>
      <c r="B1203" s="97"/>
      <c r="C1203" s="115"/>
      <c r="D1203" s="115"/>
      <c r="E1203" s="115"/>
      <c r="F1203" s="105"/>
      <c r="G1203" s="96"/>
      <c r="H1203" s="97"/>
      <c r="I1203" s="96"/>
      <c r="J1203" s="96"/>
      <c r="K1203" s="107"/>
      <c r="L1203" s="107"/>
      <c r="M1203" s="102"/>
    </row>
    <row r="1204" spans="1:13">
      <c r="A1204" s="96"/>
      <c r="B1204" s="97"/>
      <c r="C1204" s="115"/>
      <c r="D1204" s="115"/>
      <c r="E1204" s="115"/>
      <c r="F1204" s="105"/>
      <c r="G1204" s="96"/>
      <c r="H1204" s="97"/>
      <c r="I1204" s="96"/>
      <c r="J1204" s="96"/>
      <c r="K1204" s="107"/>
      <c r="L1204" s="107"/>
      <c r="M1204" s="102"/>
    </row>
    <row r="1205" spans="1:13">
      <c r="A1205" s="96"/>
      <c r="B1205" s="97"/>
      <c r="C1205" s="115"/>
      <c r="D1205" s="115"/>
      <c r="E1205" s="115"/>
      <c r="F1205" s="105"/>
      <c r="G1205" s="96"/>
      <c r="H1205" s="97"/>
      <c r="I1205" s="96"/>
      <c r="J1205" s="96"/>
      <c r="K1205" s="107"/>
      <c r="L1205" s="107"/>
      <c r="M1205" s="102"/>
    </row>
    <row r="1206" spans="1:13">
      <c r="A1206" s="96"/>
      <c r="B1206" s="97"/>
      <c r="C1206" s="115"/>
      <c r="D1206" s="115"/>
      <c r="E1206" s="115"/>
      <c r="F1206" s="105"/>
      <c r="G1206" s="96"/>
      <c r="H1206" s="97"/>
      <c r="I1206" s="96"/>
      <c r="J1206" s="96"/>
      <c r="K1206" s="107"/>
      <c r="L1206" s="107"/>
      <c r="M1206" s="102"/>
    </row>
    <row r="1207" spans="1:13">
      <c r="A1207" s="96"/>
      <c r="B1207" s="97"/>
      <c r="C1207" s="115"/>
      <c r="D1207" s="115"/>
      <c r="E1207" s="115"/>
      <c r="F1207" s="105"/>
      <c r="G1207" s="96"/>
      <c r="H1207" s="97"/>
      <c r="I1207" s="96"/>
      <c r="J1207" s="96"/>
      <c r="K1207" s="107"/>
      <c r="L1207" s="107"/>
      <c r="M1207" s="102"/>
    </row>
    <row r="1208" spans="1:13">
      <c r="A1208" s="96"/>
      <c r="B1208" s="97"/>
      <c r="C1208" s="115"/>
      <c r="D1208" s="115"/>
      <c r="E1208" s="115"/>
      <c r="F1208" s="105"/>
      <c r="G1208" s="96"/>
      <c r="H1208" s="97"/>
      <c r="I1208" s="96"/>
      <c r="J1208" s="96"/>
      <c r="K1208" s="107"/>
      <c r="L1208" s="107"/>
      <c r="M1208" s="102"/>
    </row>
    <row r="1209" spans="1:13">
      <c r="A1209" s="96"/>
      <c r="B1209" s="97"/>
      <c r="C1209" s="115"/>
      <c r="D1209" s="115"/>
      <c r="E1209" s="115"/>
      <c r="F1209" s="105"/>
      <c r="G1209" s="96"/>
      <c r="H1209" s="97"/>
      <c r="I1209" s="96"/>
      <c r="J1209" s="96"/>
      <c r="K1209" s="107"/>
      <c r="L1209" s="107"/>
      <c r="M1209" s="102"/>
    </row>
    <row r="1210" spans="1:13">
      <c r="A1210" s="96"/>
      <c r="B1210" s="97"/>
      <c r="C1210" s="115"/>
      <c r="D1210" s="115"/>
      <c r="E1210" s="115"/>
      <c r="F1210" s="105"/>
      <c r="G1210" s="96"/>
      <c r="H1210" s="97"/>
      <c r="I1210" s="96"/>
      <c r="J1210" s="96"/>
      <c r="K1210" s="107"/>
      <c r="L1210" s="107"/>
      <c r="M1210" s="102"/>
    </row>
    <row r="1211" spans="1:13">
      <c r="A1211" s="96"/>
      <c r="B1211" s="97"/>
      <c r="C1211" s="115"/>
      <c r="D1211" s="115"/>
      <c r="E1211" s="115"/>
      <c r="F1211" s="105"/>
      <c r="G1211" s="96"/>
      <c r="H1211" s="97"/>
      <c r="I1211" s="96"/>
      <c r="J1211" s="96"/>
      <c r="K1211" s="107"/>
      <c r="L1211" s="107"/>
      <c r="M1211" s="102"/>
    </row>
    <row r="1212" spans="1:13">
      <c r="A1212" s="96"/>
      <c r="B1212" s="97"/>
      <c r="C1212" s="115"/>
      <c r="D1212" s="115"/>
      <c r="E1212" s="115"/>
      <c r="F1212" s="105"/>
      <c r="G1212" s="96"/>
      <c r="H1212" s="97"/>
      <c r="I1212" s="96"/>
      <c r="J1212" s="96"/>
      <c r="K1212" s="107"/>
      <c r="L1212" s="107"/>
      <c r="M1212" s="102"/>
    </row>
    <row r="1213" spans="1:13">
      <c r="A1213" s="96"/>
      <c r="B1213" s="97"/>
      <c r="C1213" s="115"/>
      <c r="D1213" s="115"/>
      <c r="E1213" s="115"/>
      <c r="F1213" s="105"/>
      <c r="G1213" s="96"/>
      <c r="H1213" s="97"/>
      <c r="I1213" s="96"/>
      <c r="J1213" s="96"/>
      <c r="K1213" s="107"/>
      <c r="L1213" s="107"/>
      <c r="M1213" s="102"/>
    </row>
    <row r="1214" spans="1:13">
      <c r="A1214" s="96"/>
      <c r="B1214" s="97"/>
      <c r="C1214" s="115"/>
      <c r="D1214" s="115"/>
      <c r="E1214" s="115"/>
      <c r="F1214" s="105"/>
      <c r="G1214" s="96"/>
      <c r="H1214" s="97"/>
      <c r="I1214" s="96"/>
      <c r="J1214" s="96"/>
      <c r="K1214" s="107"/>
      <c r="L1214" s="107"/>
      <c r="M1214" s="102"/>
    </row>
    <row r="1215" spans="1:13">
      <c r="A1215" s="96"/>
      <c r="B1215" s="97"/>
      <c r="C1215" s="115"/>
      <c r="D1215" s="115"/>
      <c r="E1215" s="115"/>
      <c r="F1215" s="105"/>
      <c r="G1215" s="96"/>
      <c r="H1215" s="97"/>
      <c r="I1215" s="96"/>
      <c r="J1215" s="96"/>
      <c r="K1215" s="107"/>
      <c r="L1215" s="107"/>
      <c r="M1215" s="102"/>
    </row>
    <row r="1216" spans="1:13">
      <c r="A1216" s="96"/>
      <c r="B1216" s="97"/>
      <c r="C1216" s="115"/>
      <c r="D1216" s="115"/>
      <c r="E1216" s="115"/>
      <c r="F1216" s="105"/>
      <c r="G1216" s="96"/>
      <c r="H1216" s="97"/>
      <c r="I1216" s="96"/>
      <c r="J1216" s="96"/>
      <c r="K1216" s="107"/>
      <c r="L1216" s="107"/>
      <c r="M1216" s="102"/>
    </row>
    <row r="1217" spans="1:13">
      <c r="A1217" s="96"/>
      <c r="B1217" s="97"/>
      <c r="C1217" s="115"/>
      <c r="D1217" s="115"/>
      <c r="E1217" s="115"/>
      <c r="F1217" s="105"/>
      <c r="G1217" s="96"/>
      <c r="H1217" s="97"/>
      <c r="I1217" s="96"/>
      <c r="J1217" s="96"/>
      <c r="K1217" s="107"/>
      <c r="L1217" s="107"/>
      <c r="M1217" s="102"/>
    </row>
    <row r="1218" spans="1:13">
      <c r="A1218" s="96"/>
      <c r="B1218" s="97"/>
      <c r="C1218" s="115"/>
      <c r="D1218" s="115"/>
      <c r="E1218" s="115"/>
      <c r="F1218" s="105"/>
      <c r="G1218" s="96"/>
      <c r="H1218" s="97"/>
      <c r="I1218" s="96"/>
      <c r="J1218" s="96"/>
      <c r="K1218" s="107"/>
      <c r="L1218" s="107"/>
      <c r="M1218" s="102"/>
    </row>
    <row r="1219" spans="1:13">
      <c r="A1219" s="96"/>
      <c r="B1219" s="97"/>
      <c r="C1219" s="115"/>
      <c r="D1219" s="115"/>
      <c r="E1219" s="115"/>
      <c r="F1219" s="105"/>
      <c r="G1219" s="96"/>
      <c r="H1219" s="97"/>
      <c r="I1219" s="96"/>
      <c r="J1219" s="96"/>
      <c r="K1219" s="107"/>
      <c r="L1219" s="107"/>
      <c r="M1219" s="102"/>
    </row>
    <row r="1220" spans="1:13">
      <c r="A1220" s="96"/>
      <c r="B1220" s="97"/>
      <c r="C1220" s="115"/>
      <c r="D1220" s="115"/>
      <c r="E1220" s="115"/>
      <c r="F1220" s="105"/>
      <c r="G1220" s="96"/>
      <c r="H1220" s="97"/>
      <c r="I1220" s="96"/>
      <c r="J1220" s="96"/>
      <c r="K1220" s="107"/>
      <c r="L1220" s="107"/>
      <c r="M1220" s="102"/>
    </row>
    <row r="1221" spans="1:13">
      <c r="A1221" s="96"/>
      <c r="B1221" s="97"/>
      <c r="C1221" s="115"/>
      <c r="D1221" s="115"/>
      <c r="E1221" s="115"/>
      <c r="F1221" s="105"/>
      <c r="G1221" s="96"/>
      <c r="H1221" s="97"/>
      <c r="I1221" s="96"/>
      <c r="J1221" s="96"/>
      <c r="K1221" s="107"/>
      <c r="L1221" s="107"/>
      <c r="M1221" s="102"/>
    </row>
    <row r="1222" spans="1:13">
      <c r="A1222" s="96"/>
      <c r="B1222" s="97"/>
      <c r="C1222" s="115"/>
      <c r="D1222" s="115"/>
      <c r="E1222" s="115"/>
      <c r="F1222" s="105"/>
      <c r="G1222" s="96"/>
      <c r="H1222" s="97"/>
      <c r="I1222" s="96"/>
      <c r="J1222" s="96"/>
      <c r="K1222" s="107"/>
      <c r="L1222" s="107"/>
      <c r="M1222" s="102"/>
    </row>
    <row r="1223" spans="1:13">
      <c r="A1223" s="96"/>
      <c r="B1223" s="97"/>
      <c r="C1223" s="115"/>
      <c r="D1223" s="115"/>
      <c r="E1223" s="115"/>
      <c r="F1223" s="105"/>
      <c r="G1223" s="96"/>
      <c r="H1223" s="97"/>
      <c r="I1223" s="96"/>
      <c r="J1223" s="96"/>
      <c r="K1223" s="107"/>
      <c r="L1223" s="107"/>
      <c r="M1223" s="102"/>
    </row>
    <row r="1224" spans="1:13">
      <c r="A1224" s="96"/>
      <c r="B1224" s="97"/>
      <c r="C1224" s="115"/>
      <c r="D1224" s="115"/>
      <c r="E1224" s="115"/>
      <c r="F1224" s="105"/>
      <c r="G1224" s="96"/>
      <c r="H1224" s="97"/>
      <c r="I1224" s="96"/>
      <c r="J1224" s="96"/>
      <c r="K1224" s="107"/>
      <c r="L1224" s="107"/>
      <c r="M1224" s="102"/>
    </row>
    <row r="1225" spans="1:13">
      <c r="A1225" s="96"/>
      <c r="B1225" s="97"/>
      <c r="C1225" s="115"/>
      <c r="D1225" s="115"/>
      <c r="E1225" s="115"/>
      <c r="F1225" s="105"/>
      <c r="G1225" s="96"/>
      <c r="H1225" s="97"/>
      <c r="I1225" s="96"/>
      <c r="J1225" s="96"/>
      <c r="K1225" s="107"/>
      <c r="L1225" s="107"/>
      <c r="M1225" s="102"/>
    </row>
    <row r="1226" spans="1:13">
      <c r="A1226" s="96"/>
      <c r="B1226" s="97"/>
      <c r="C1226" s="115"/>
      <c r="D1226" s="115"/>
      <c r="E1226" s="115"/>
      <c r="F1226" s="105"/>
      <c r="G1226" s="96"/>
      <c r="H1226" s="97"/>
      <c r="I1226" s="96"/>
      <c r="J1226" s="96"/>
      <c r="K1226" s="107"/>
      <c r="L1226" s="107"/>
      <c r="M1226" s="102"/>
    </row>
    <row r="1227" spans="1:13">
      <c r="A1227" s="96"/>
      <c r="B1227" s="97"/>
      <c r="C1227" s="115"/>
      <c r="D1227" s="115"/>
      <c r="E1227" s="115"/>
      <c r="F1227" s="105"/>
      <c r="G1227" s="96"/>
      <c r="H1227" s="97"/>
      <c r="I1227" s="96"/>
      <c r="J1227" s="96"/>
      <c r="K1227" s="107"/>
      <c r="L1227" s="107"/>
      <c r="M1227" s="102"/>
    </row>
    <row r="1228" spans="1:13">
      <c r="A1228" s="96"/>
      <c r="B1228" s="97"/>
      <c r="C1228" s="115"/>
      <c r="D1228" s="115"/>
      <c r="E1228" s="115"/>
      <c r="F1228" s="105"/>
      <c r="G1228" s="96"/>
      <c r="H1228" s="97"/>
      <c r="I1228" s="96"/>
      <c r="J1228" s="96"/>
      <c r="K1228" s="107"/>
      <c r="L1228" s="107"/>
      <c r="M1228" s="102"/>
    </row>
    <row r="1229" spans="1:13">
      <c r="A1229" s="96"/>
      <c r="B1229" s="97"/>
      <c r="C1229" s="115"/>
      <c r="D1229" s="115"/>
      <c r="E1229" s="115"/>
      <c r="F1229" s="105"/>
      <c r="G1229" s="96"/>
      <c r="H1229" s="97"/>
      <c r="I1229" s="96"/>
      <c r="J1229" s="96"/>
      <c r="K1229" s="107"/>
      <c r="L1229" s="107"/>
      <c r="M1229" s="102"/>
    </row>
    <row r="1230" spans="1:13">
      <c r="A1230" s="96"/>
      <c r="B1230" s="97"/>
      <c r="C1230" s="115"/>
      <c r="D1230" s="115"/>
      <c r="E1230" s="115"/>
      <c r="F1230" s="105"/>
      <c r="G1230" s="96"/>
      <c r="H1230" s="97"/>
      <c r="I1230" s="96"/>
      <c r="J1230" s="96"/>
      <c r="K1230" s="107"/>
      <c r="L1230" s="107"/>
      <c r="M1230" s="102"/>
    </row>
    <row r="1231" spans="1:13">
      <c r="A1231" s="96"/>
      <c r="B1231" s="97"/>
      <c r="C1231" s="115"/>
      <c r="D1231" s="115"/>
      <c r="E1231" s="115"/>
      <c r="F1231" s="105"/>
      <c r="G1231" s="96"/>
      <c r="H1231" s="97"/>
      <c r="I1231" s="96"/>
      <c r="J1231" s="96"/>
      <c r="K1231" s="107"/>
      <c r="L1231" s="107"/>
      <c r="M1231" s="102"/>
    </row>
    <row r="1232" spans="1:13">
      <c r="A1232" s="96"/>
      <c r="B1232" s="97"/>
      <c r="C1232" s="115"/>
      <c r="D1232" s="115"/>
      <c r="E1232" s="115"/>
      <c r="F1232" s="105"/>
      <c r="G1232" s="96"/>
      <c r="H1232" s="97"/>
      <c r="I1232" s="96"/>
      <c r="J1232" s="96"/>
      <c r="K1232" s="107"/>
      <c r="L1232" s="107"/>
      <c r="M1232" s="102"/>
    </row>
    <row r="1233" spans="1:13">
      <c r="A1233" s="96"/>
      <c r="B1233" s="97"/>
      <c r="C1233" s="115"/>
      <c r="D1233" s="115"/>
      <c r="E1233" s="115"/>
      <c r="F1233" s="105"/>
      <c r="G1233" s="96"/>
      <c r="H1233" s="97"/>
      <c r="I1233" s="96"/>
      <c r="J1233" s="96"/>
      <c r="K1233" s="107"/>
      <c r="L1233" s="107"/>
      <c r="M1233" s="102"/>
    </row>
    <row r="1234" spans="1:13">
      <c r="A1234" s="96"/>
      <c r="B1234" s="97"/>
      <c r="C1234" s="115"/>
      <c r="D1234" s="115"/>
      <c r="E1234" s="115"/>
      <c r="F1234" s="105"/>
      <c r="G1234" s="96"/>
      <c r="H1234" s="97"/>
      <c r="I1234" s="96"/>
      <c r="J1234" s="96"/>
      <c r="K1234" s="107"/>
      <c r="L1234" s="107"/>
      <c r="M1234" s="102"/>
    </row>
    <row r="1235" spans="1:13">
      <c r="A1235" s="96"/>
      <c r="B1235" s="97"/>
      <c r="C1235" s="115"/>
      <c r="D1235" s="115"/>
      <c r="E1235" s="115"/>
      <c r="F1235" s="105"/>
      <c r="G1235" s="96"/>
      <c r="H1235" s="97"/>
      <c r="I1235" s="96"/>
      <c r="J1235" s="96"/>
      <c r="K1235" s="107"/>
      <c r="L1235" s="107"/>
      <c r="M1235" s="102"/>
    </row>
    <row r="1236" spans="1:13">
      <c r="A1236" s="96"/>
      <c r="B1236" s="97"/>
      <c r="C1236" s="115"/>
      <c r="D1236" s="115"/>
      <c r="E1236" s="115"/>
      <c r="F1236" s="105"/>
      <c r="G1236" s="96"/>
      <c r="H1236" s="97"/>
      <c r="I1236" s="96"/>
      <c r="J1236" s="96"/>
      <c r="K1236" s="107"/>
      <c r="L1236" s="107"/>
      <c r="M1236" s="102"/>
    </row>
    <row r="1237" spans="1:13">
      <c r="A1237" s="96"/>
      <c r="B1237" s="97"/>
      <c r="C1237" s="115"/>
      <c r="D1237" s="115"/>
      <c r="E1237" s="115"/>
      <c r="F1237" s="105"/>
      <c r="G1237" s="96"/>
      <c r="H1237" s="97"/>
      <c r="I1237" s="96"/>
      <c r="J1237" s="96"/>
      <c r="K1237" s="107"/>
      <c r="L1237" s="107"/>
      <c r="M1237" s="102"/>
    </row>
    <row r="1238" spans="1:13">
      <c r="A1238" s="96"/>
      <c r="B1238" s="97"/>
      <c r="C1238" s="115"/>
      <c r="D1238" s="115"/>
      <c r="E1238" s="115"/>
      <c r="F1238" s="105"/>
      <c r="G1238" s="96"/>
      <c r="H1238" s="97"/>
      <c r="I1238" s="96"/>
      <c r="J1238" s="96"/>
      <c r="K1238" s="107"/>
      <c r="L1238" s="107"/>
      <c r="M1238" s="102"/>
    </row>
    <row r="1239" spans="1:13">
      <c r="A1239" s="96"/>
      <c r="B1239" s="97"/>
      <c r="C1239" s="115"/>
      <c r="D1239" s="115"/>
      <c r="E1239" s="115"/>
      <c r="F1239" s="105"/>
      <c r="G1239" s="96"/>
      <c r="H1239" s="97"/>
      <c r="I1239" s="96"/>
      <c r="J1239" s="96"/>
      <c r="K1239" s="107"/>
      <c r="L1239" s="107"/>
      <c r="M1239" s="102"/>
    </row>
    <row r="1240" spans="1:13">
      <c r="A1240" s="96"/>
      <c r="B1240" s="97"/>
      <c r="C1240" s="115"/>
      <c r="D1240" s="115"/>
      <c r="E1240" s="115"/>
      <c r="F1240" s="105"/>
      <c r="G1240" s="96"/>
      <c r="H1240" s="97"/>
      <c r="I1240" s="96"/>
      <c r="J1240" s="96"/>
      <c r="K1240" s="107"/>
      <c r="L1240" s="107"/>
      <c r="M1240" s="102"/>
    </row>
    <row r="1241" spans="1:13">
      <c r="A1241" s="96"/>
      <c r="B1241" s="97"/>
      <c r="C1241" s="115"/>
      <c r="D1241" s="115"/>
      <c r="E1241" s="115"/>
      <c r="F1241" s="105"/>
      <c r="G1241" s="96"/>
      <c r="H1241" s="97"/>
      <c r="I1241" s="96"/>
      <c r="J1241" s="96"/>
      <c r="K1241" s="107"/>
      <c r="L1241" s="107"/>
      <c r="M1241" s="102"/>
    </row>
    <row r="1242" spans="1:13">
      <c r="A1242" s="96"/>
      <c r="B1242" s="97"/>
      <c r="C1242" s="115"/>
      <c r="D1242" s="115"/>
      <c r="E1242" s="115"/>
      <c r="F1242" s="105"/>
      <c r="G1242" s="96"/>
      <c r="H1242" s="97"/>
      <c r="I1242" s="96"/>
      <c r="J1242" s="96"/>
      <c r="K1242" s="107"/>
      <c r="L1242" s="107"/>
      <c r="M1242" s="102"/>
    </row>
    <row r="1243" spans="1:13">
      <c r="A1243" s="96"/>
      <c r="B1243" s="97"/>
      <c r="C1243" s="115"/>
      <c r="D1243" s="115"/>
      <c r="E1243" s="115"/>
      <c r="F1243" s="105"/>
      <c r="G1243" s="96"/>
      <c r="H1243" s="97"/>
      <c r="I1243" s="96"/>
      <c r="J1243" s="96"/>
      <c r="K1243" s="107"/>
      <c r="L1243" s="107"/>
      <c r="M1243" s="102"/>
    </row>
    <row r="1244" spans="1:13">
      <c r="A1244" s="96"/>
      <c r="B1244" s="97"/>
      <c r="C1244" s="115"/>
      <c r="D1244" s="115"/>
      <c r="E1244" s="115"/>
      <c r="F1244" s="105"/>
      <c r="G1244" s="96"/>
      <c r="H1244" s="97"/>
      <c r="I1244" s="96"/>
      <c r="J1244" s="96"/>
      <c r="K1244" s="107"/>
      <c r="L1244" s="107"/>
      <c r="M1244" s="102"/>
    </row>
    <row r="1245" spans="1:13">
      <c r="A1245" s="96"/>
      <c r="B1245" s="97"/>
      <c r="C1245" s="115"/>
      <c r="D1245" s="115"/>
      <c r="E1245" s="115"/>
      <c r="F1245" s="105"/>
      <c r="G1245" s="96"/>
      <c r="H1245" s="97"/>
      <c r="I1245" s="96"/>
      <c r="J1245" s="96"/>
      <c r="K1245" s="107"/>
      <c r="L1245" s="107"/>
      <c r="M1245" s="102"/>
    </row>
    <row r="1246" spans="1:13">
      <c r="A1246" s="96"/>
      <c r="B1246" s="97"/>
      <c r="C1246" s="115"/>
      <c r="D1246" s="115"/>
      <c r="E1246" s="115"/>
      <c r="F1246" s="105"/>
      <c r="G1246" s="96"/>
      <c r="H1246" s="97"/>
      <c r="I1246" s="96"/>
      <c r="J1246" s="96"/>
      <c r="K1246" s="107"/>
      <c r="L1246" s="107"/>
      <c r="M1246" s="102"/>
    </row>
    <row r="1247" spans="1:13">
      <c r="A1247" s="96"/>
      <c r="B1247" s="97"/>
      <c r="C1247" s="115"/>
      <c r="D1247" s="115"/>
      <c r="E1247" s="115"/>
      <c r="F1247" s="105"/>
      <c r="G1247" s="96"/>
      <c r="H1247" s="97"/>
      <c r="I1247" s="96"/>
      <c r="J1247" s="96"/>
      <c r="K1247" s="107"/>
      <c r="L1247" s="107"/>
      <c r="M1247" s="102"/>
    </row>
    <row r="1248" spans="1:13">
      <c r="A1248" s="96"/>
      <c r="B1248" s="97"/>
      <c r="C1248" s="115"/>
      <c r="D1248" s="115"/>
      <c r="E1248" s="115"/>
      <c r="F1248" s="105"/>
      <c r="G1248" s="96"/>
      <c r="H1248" s="97"/>
      <c r="I1248" s="96"/>
      <c r="J1248" s="96"/>
      <c r="K1248" s="107"/>
      <c r="L1248" s="107"/>
      <c r="M1248" s="102"/>
    </row>
    <row r="1249" spans="1:13">
      <c r="A1249" s="96"/>
      <c r="B1249" s="97"/>
      <c r="C1249" s="115"/>
      <c r="D1249" s="115"/>
      <c r="E1249" s="115"/>
      <c r="F1249" s="105"/>
      <c r="G1249" s="96"/>
      <c r="H1249" s="97"/>
      <c r="I1249" s="96"/>
      <c r="J1249" s="96"/>
      <c r="K1249" s="107"/>
      <c r="L1249" s="107"/>
      <c r="M1249" s="102"/>
    </row>
    <row r="1250" spans="1:13">
      <c r="A1250" s="96"/>
      <c r="B1250" s="97"/>
      <c r="C1250" s="115"/>
      <c r="D1250" s="115"/>
      <c r="E1250" s="115"/>
      <c r="F1250" s="105"/>
      <c r="G1250" s="96"/>
      <c r="H1250" s="97"/>
      <c r="I1250" s="96"/>
      <c r="J1250" s="96"/>
      <c r="K1250" s="107"/>
      <c r="L1250" s="107"/>
      <c r="M1250" s="102"/>
    </row>
    <row r="1251" spans="1:13">
      <c r="A1251" s="96"/>
      <c r="B1251" s="97"/>
      <c r="C1251" s="115"/>
      <c r="D1251" s="115"/>
      <c r="E1251" s="115"/>
      <c r="F1251" s="105"/>
      <c r="G1251" s="96"/>
      <c r="H1251" s="97"/>
      <c r="I1251" s="96"/>
      <c r="J1251" s="96"/>
      <c r="K1251" s="107"/>
      <c r="L1251" s="107"/>
      <c r="M1251" s="102"/>
    </row>
    <row r="1252" spans="1:13">
      <c r="A1252" s="96"/>
      <c r="B1252" s="97"/>
      <c r="C1252" s="115"/>
      <c r="D1252" s="115"/>
      <c r="E1252" s="115"/>
      <c r="F1252" s="105"/>
      <c r="G1252" s="96"/>
      <c r="H1252" s="97"/>
      <c r="I1252" s="96"/>
      <c r="J1252" s="96"/>
      <c r="K1252" s="107"/>
      <c r="L1252" s="107"/>
      <c r="M1252" s="102"/>
    </row>
    <row r="1253" spans="1:13">
      <c r="A1253" s="96"/>
      <c r="B1253" s="97"/>
      <c r="C1253" s="115"/>
      <c r="D1253" s="115"/>
      <c r="E1253" s="115"/>
      <c r="F1253" s="105"/>
      <c r="G1253" s="96"/>
      <c r="H1253" s="97"/>
      <c r="I1253" s="96"/>
      <c r="J1253" s="96"/>
      <c r="K1253" s="107"/>
      <c r="L1253" s="107"/>
      <c r="M1253" s="102"/>
    </row>
    <row r="1254" spans="1:13">
      <c r="A1254" s="96"/>
      <c r="B1254" s="97"/>
      <c r="C1254" s="115"/>
      <c r="D1254" s="115"/>
      <c r="E1254" s="115"/>
      <c r="F1254" s="105"/>
      <c r="G1254" s="96"/>
      <c r="H1254" s="97"/>
      <c r="I1254" s="96"/>
      <c r="J1254" s="96"/>
      <c r="K1254" s="107"/>
      <c r="L1254" s="107"/>
      <c r="M1254" s="102"/>
    </row>
    <row r="1255" spans="1:13">
      <c r="A1255" s="96"/>
      <c r="B1255" s="97"/>
      <c r="C1255" s="115"/>
      <c r="D1255" s="115"/>
      <c r="E1255" s="115"/>
      <c r="F1255" s="105"/>
      <c r="G1255" s="96"/>
      <c r="H1255" s="97"/>
      <c r="I1255" s="96"/>
      <c r="J1255" s="96"/>
      <c r="K1255" s="107"/>
      <c r="L1255" s="107"/>
      <c r="M1255" s="102"/>
    </row>
    <row r="1256" spans="1:13">
      <c r="A1256" s="96"/>
      <c r="B1256" s="97"/>
      <c r="C1256" s="115"/>
      <c r="D1256" s="115"/>
      <c r="E1256" s="115"/>
      <c r="F1256" s="105"/>
      <c r="G1256" s="96"/>
      <c r="H1256" s="97"/>
      <c r="I1256" s="96"/>
      <c r="J1256" s="96"/>
      <c r="K1256" s="107"/>
      <c r="L1256" s="107"/>
      <c r="M1256" s="102"/>
    </row>
    <row r="1257" spans="1:13">
      <c r="A1257" s="96"/>
      <c r="B1257" s="97"/>
      <c r="C1257" s="115"/>
      <c r="D1257" s="115"/>
      <c r="E1257" s="115"/>
      <c r="F1257" s="105"/>
      <c r="G1257" s="96"/>
      <c r="H1257" s="97"/>
      <c r="I1257" s="96"/>
      <c r="J1257" s="96"/>
      <c r="K1257" s="107"/>
      <c r="L1257" s="107"/>
      <c r="M1257" s="102"/>
    </row>
    <row r="1258" spans="1:13">
      <c r="A1258" s="96"/>
      <c r="B1258" s="97"/>
      <c r="C1258" s="115"/>
      <c r="D1258" s="115"/>
      <c r="E1258" s="115"/>
      <c r="F1258" s="105"/>
      <c r="G1258" s="96"/>
      <c r="H1258" s="97"/>
      <c r="I1258" s="96"/>
      <c r="J1258" s="96"/>
      <c r="K1258" s="107"/>
      <c r="L1258" s="107"/>
      <c r="M1258" s="102"/>
    </row>
    <row r="1259" spans="1:13">
      <c r="A1259" s="96"/>
      <c r="B1259" s="97"/>
      <c r="C1259" s="115"/>
      <c r="D1259" s="115"/>
      <c r="E1259" s="115"/>
      <c r="F1259" s="105"/>
      <c r="G1259" s="96"/>
      <c r="H1259" s="97"/>
      <c r="I1259" s="96"/>
      <c r="J1259" s="96"/>
      <c r="K1259" s="107"/>
      <c r="L1259" s="107"/>
      <c r="M1259" s="102"/>
    </row>
    <row r="1260" spans="1:13">
      <c r="A1260" s="96"/>
      <c r="B1260" s="97"/>
      <c r="C1260" s="115"/>
      <c r="D1260" s="115"/>
      <c r="E1260" s="115"/>
      <c r="F1260" s="105"/>
      <c r="G1260" s="96"/>
      <c r="H1260" s="97"/>
      <c r="I1260" s="96"/>
      <c r="J1260" s="96"/>
      <c r="K1260" s="107"/>
      <c r="L1260" s="107"/>
      <c r="M1260" s="102"/>
    </row>
    <row r="1261" spans="1:13">
      <c r="A1261" s="96"/>
      <c r="B1261" s="97"/>
      <c r="C1261" s="115"/>
      <c r="D1261" s="115"/>
      <c r="E1261" s="115"/>
      <c r="F1261" s="105"/>
      <c r="G1261" s="96"/>
      <c r="H1261" s="97"/>
      <c r="I1261" s="96"/>
      <c r="J1261" s="96"/>
      <c r="K1261" s="107"/>
      <c r="L1261" s="107"/>
      <c r="M1261" s="102"/>
    </row>
    <row r="1262" spans="1:13">
      <c r="A1262" s="96"/>
      <c r="B1262" s="97"/>
      <c r="C1262" s="115"/>
      <c r="D1262" s="115"/>
      <c r="E1262" s="115"/>
      <c r="F1262" s="105"/>
      <c r="G1262" s="96"/>
      <c r="H1262" s="97"/>
      <c r="I1262" s="96"/>
      <c r="J1262" s="96"/>
      <c r="K1262" s="107"/>
      <c r="L1262" s="107"/>
      <c r="M1262" s="102"/>
    </row>
    <row r="1263" spans="1:13">
      <c r="A1263" s="96"/>
      <c r="B1263" s="97"/>
      <c r="C1263" s="115"/>
      <c r="D1263" s="115"/>
      <c r="E1263" s="115"/>
      <c r="F1263" s="105"/>
      <c r="G1263" s="96"/>
      <c r="H1263" s="97"/>
      <c r="I1263" s="96"/>
      <c r="J1263" s="96"/>
      <c r="K1263" s="107"/>
      <c r="L1263" s="107"/>
      <c r="M1263" s="102"/>
    </row>
    <row r="1264" spans="1:13">
      <c r="A1264" s="96"/>
      <c r="B1264" s="97"/>
      <c r="C1264" s="115"/>
      <c r="D1264" s="115"/>
      <c r="E1264" s="115"/>
      <c r="F1264" s="105"/>
      <c r="G1264" s="96"/>
      <c r="H1264" s="97"/>
      <c r="I1264" s="96"/>
      <c r="J1264" s="96"/>
      <c r="K1264" s="107"/>
      <c r="L1264" s="107"/>
      <c r="M1264" s="102"/>
    </row>
    <row r="1265" spans="1:13">
      <c r="A1265" s="96"/>
      <c r="B1265" s="97"/>
      <c r="C1265" s="115"/>
      <c r="D1265" s="115"/>
      <c r="E1265" s="115"/>
      <c r="F1265" s="105"/>
      <c r="G1265" s="96"/>
      <c r="H1265" s="97"/>
      <c r="I1265" s="96"/>
      <c r="J1265" s="96"/>
      <c r="K1265" s="107"/>
      <c r="L1265" s="107"/>
      <c r="M1265" s="102"/>
    </row>
    <row r="1266" spans="1:13">
      <c r="A1266" s="96"/>
      <c r="B1266" s="97"/>
      <c r="C1266" s="115"/>
      <c r="D1266" s="115"/>
      <c r="E1266" s="115"/>
      <c r="F1266" s="105"/>
      <c r="G1266" s="96"/>
      <c r="H1266" s="97"/>
      <c r="I1266" s="96"/>
      <c r="J1266" s="96"/>
      <c r="K1266" s="107"/>
      <c r="L1266" s="107"/>
      <c r="M1266" s="102"/>
    </row>
    <row r="1267" spans="1:13">
      <c r="A1267" s="96"/>
      <c r="B1267" s="97"/>
      <c r="C1267" s="115"/>
      <c r="D1267" s="115"/>
      <c r="E1267" s="115"/>
      <c r="F1267" s="105"/>
      <c r="G1267" s="96"/>
      <c r="H1267" s="97"/>
      <c r="I1267" s="96"/>
      <c r="J1267" s="96"/>
      <c r="K1267" s="107"/>
      <c r="L1267" s="107"/>
      <c r="M1267" s="102"/>
    </row>
    <row r="1268" spans="1:13">
      <c r="A1268" s="96"/>
      <c r="B1268" s="97"/>
      <c r="C1268" s="115"/>
      <c r="D1268" s="115"/>
      <c r="E1268" s="115"/>
      <c r="F1268" s="105"/>
      <c r="G1268" s="96"/>
      <c r="H1268" s="97"/>
      <c r="I1268" s="96"/>
      <c r="J1268" s="96"/>
      <c r="K1268" s="107"/>
      <c r="L1268" s="107"/>
      <c r="M1268" s="102"/>
    </row>
    <row r="1269" spans="1:13">
      <c r="A1269" s="96"/>
      <c r="B1269" s="97"/>
      <c r="C1269" s="115"/>
      <c r="D1269" s="115"/>
      <c r="E1269" s="115"/>
      <c r="F1269" s="105"/>
      <c r="G1269" s="96"/>
      <c r="H1269" s="97"/>
      <c r="I1269" s="96"/>
      <c r="J1269" s="96"/>
      <c r="K1269" s="107"/>
      <c r="L1269" s="107"/>
      <c r="M1269" s="102"/>
    </row>
    <row r="1270" spans="1:13">
      <c r="A1270" s="96"/>
      <c r="B1270" s="97"/>
      <c r="C1270" s="115"/>
      <c r="D1270" s="115"/>
      <c r="E1270" s="115"/>
      <c r="F1270" s="105"/>
      <c r="G1270" s="96"/>
      <c r="H1270" s="97"/>
      <c r="I1270" s="96"/>
      <c r="J1270" s="96"/>
      <c r="K1270" s="107"/>
      <c r="L1270" s="107"/>
      <c r="M1270" s="102"/>
    </row>
    <row r="1271" spans="1:13">
      <c r="A1271" s="96"/>
      <c r="B1271" s="97"/>
      <c r="C1271" s="115"/>
      <c r="D1271" s="115"/>
      <c r="E1271" s="115"/>
      <c r="F1271" s="105"/>
      <c r="G1271" s="96"/>
      <c r="H1271" s="97"/>
      <c r="I1271" s="96"/>
      <c r="J1271" s="96"/>
      <c r="K1271" s="107"/>
      <c r="L1271" s="107"/>
      <c r="M1271" s="102"/>
    </row>
    <row r="1272" spans="1:13">
      <c r="A1272" s="96"/>
      <c r="B1272" s="97"/>
      <c r="C1272" s="115"/>
      <c r="D1272" s="115"/>
      <c r="E1272" s="115"/>
      <c r="F1272" s="105"/>
      <c r="G1272" s="96"/>
      <c r="H1272" s="97"/>
      <c r="I1272" s="96"/>
      <c r="J1272" s="96"/>
      <c r="K1272" s="107"/>
      <c r="L1272" s="107"/>
      <c r="M1272" s="102"/>
    </row>
    <row r="1273" spans="1:13">
      <c r="A1273" s="96"/>
      <c r="B1273" s="97"/>
      <c r="C1273" s="115"/>
      <c r="D1273" s="115"/>
      <c r="E1273" s="115"/>
      <c r="F1273" s="105"/>
      <c r="G1273" s="96"/>
      <c r="H1273" s="97"/>
      <c r="I1273" s="96"/>
      <c r="J1273" s="96"/>
      <c r="K1273" s="107"/>
      <c r="L1273" s="107"/>
      <c r="M1273" s="102"/>
    </row>
    <row r="1274" spans="1:13">
      <c r="A1274" s="96"/>
      <c r="B1274" s="97"/>
      <c r="C1274" s="115"/>
      <c r="D1274" s="115"/>
      <c r="E1274" s="115"/>
      <c r="F1274" s="105"/>
      <c r="G1274" s="96"/>
      <c r="H1274" s="97"/>
      <c r="I1274" s="96"/>
      <c r="J1274" s="96"/>
      <c r="K1274" s="107"/>
      <c r="L1274" s="107"/>
      <c r="M1274" s="102"/>
    </row>
    <row r="1275" spans="1:13">
      <c r="A1275" s="96"/>
      <c r="B1275" s="97"/>
      <c r="C1275" s="115"/>
      <c r="D1275" s="115"/>
      <c r="E1275" s="115"/>
      <c r="F1275" s="105"/>
      <c r="G1275" s="96"/>
      <c r="H1275" s="97"/>
      <c r="I1275" s="96"/>
      <c r="J1275" s="96"/>
      <c r="K1275" s="107"/>
      <c r="L1275" s="107"/>
      <c r="M1275" s="102"/>
    </row>
    <row r="1276" spans="1:13">
      <c r="A1276" s="96"/>
      <c r="B1276" s="97"/>
      <c r="C1276" s="115"/>
      <c r="D1276" s="115"/>
      <c r="E1276" s="115"/>
      <c r="F1276" s="105"/>
      <c r="G1276" s="96"/>
      <c r="H1276" s="97"/>
      <c r="I1276" s="96"/>
      <c r="J1276" s="96"/>
      <c r="K1276" s="107"/>
      <c r="L1276" s="107"/>
      <c r="M1276" s="102"/>
    </row>
    <row r="1277" spans="1:13">
      <c r="A1277" s="96"/>
      <c r="B1277" s="97"/>
      <c r="C1277" s="115"/>
      <c r="D1277" s="115"/>
      <c r="E1277" s="115"/>
      <c r="F1277" s="105"/>
      <c r="G1277" s="96"/>
      <c r="H1277" s="97"/>
      <c r="I1277" s="96"/>
      <c r="J1277" s="96"/>
      <c r="K1277" s="107"/>
      <c r="L1277" s="107"/>
      <c r="M1277" s="102"/>
    </row>
    <row r="1278" spans="1:13">
      <c r="A1278" s="96"/>
      <c r="B1278" s="97"/>
      <c r="C1278" s="115"/>
      <c r="D1278" s="115"/>
      <c r="E1278" s="115"/>
      <c r="F1278" s="105"/>
      <c r="G1278" s="96"/>
      <c r="H1278" s="97"/>
      <c r="I1278" s="96"/>
      <c r="J1278" s="96"/>
      <c r="K1278" s="107"/>
      <c r="L1278" s="107"/>
      <c r="M1278" s="102"/>
    </row>
    <row r="1279" spans="1:13">
      <c r="A1279" s="96"/>
      <c r="B1279" s="97"/>
      <c r="C1279" s="115"/>
      <c r="D1279" s="115"/>
      <c r="E1279" s="115"/>
      <c r="F1279" s="105"/>
      <c r="G1279" s="96"/>
      <c r="H1279" s="97"/>
      <c r="I1279" s="96"/>
      <c r="J1279" s="96"/>
      <c r="K1279" s="107"/>
      <c r="L1279" s="107"/>
      <c r="M1279" s="102"/>
    </row>
    <row r="1280" spans="1:13">
      <c r="A1280" s="96"/>
      <c r="B1280" s="97"/>
      <c r="C1280" s="115"/>
      <c r="D1280" s="115"/>
      <c r="E1280" s="115"/>
      <c r="F1280" s="105"/>
      <c r="G1280" s="96"/>
      <c r="H1280" s="97"/>
      <c r="I1280" s="96"/>
      <c r="J1280" s="96"/>
      <c r="K1280" s="107"/>
      <c r="L1280" s="107"/>
      <c r="M1280" s="102"/>
    </row>
    <row r="1281" spans="1:13">
      <c r="A1281" s="96"/>
      <c r="B1281" s="97"/>
      <c r="C1281" s="115"/>
      <c r="D1281" s="115"/>
      <c r="E1281" s="115"/>
      <c r="F1281" s="105"/>
      <c r="G1281" s="96"/>
      <c r="H1281" s="97"/>
      <c r="I1281" s="96"/>
      <c r="J1281" s="96"/>
      <c r="K1281" s="107"/>
      <c r="L1281" s="107"/>
      <c r="M1281" s="102"/>
    </row>
    <row r="1282" spans="1:13">
      <c r="A1282" s="96"/>
      <c r="B1282" s="97"/>
      <c r="C1282" s="115"/>
      <c r="D1282" s="115"/>
      <c r="E1282" s="115"/>
      <c r="F1282" s="105"/>
      <c r="G1282" s="96"/>
      <c r="H1282" s="97"/>
      <c r="I1282" s="96"/>
      <c r="J1282" s="96"/>
      <c r="K1282" s="107"/>
      <c r="L1282" s="107"/>
      <c r="M1282" s="102"/>
    </row>
    <row r="1283" spans="1:13">
      <c r="A1283" s="96"/>
      <c r="B1283" s="97"/>
      <c r="C1283" s="115"/>
      <c r="D1283" s="115"/>
      <c r="E1283" s="115"/>
      <c r="F1283" s="105"/>
      <c r="G1283" s="96"/>
      <c r="H1283" s="97"/>
      <c r="I1283" s="96"/>
      <c r="J1283" s="96"/>
      <c r="K1283" s="107"/>
      <c r="L1283" s="107"/>
      <c r="M1283" s="102"/>
    </row>
    <row r="1284" spans="1:13">
      <c r="A1284" s="96"/>
      <c r="B1284" s="97"/>
      <c r="C1284" s="115"/>
      <c r="D1284" s="115"/>
      <c r="E1284" s="115"/>
      <c r="F1284" s="105"/>
      <c r="G1284" s="96"/>
      <c r="H1284" s="97"/>
      <c r="I1284" s="96"/>
      <c r="J1284" s="96"/>
      <c r="K1284" s="107"/>
      <c r="L1284" s="107"/>
      <c r="M1284" s="102"/>
    </row>
    <row r="1285" spans="1:13">
      <c r="A1285" s="96"/>
      <c r="B1285" s="97"/>
      <c r="C1285" s="115"/>
      <c r="D1285" s="115"/>
      <c r="E1285" s="115"/>
      <c r="F1285" s="105"/>
      <c r="G1285" s="96"/>
      <c r="H1285" s="97"/>
      <c r="I1285" s="96"/>
      <c r="J1285" s="96"/>
      <c r="K1285" s="107"/>
      <c r="L1285" s="107"/>
      <c r="M1285" s="102"/>
    </row>
    <row r="1286" spans="1:13">
      <c r="A1286" s="96"/>
      <c r="B1286" s="97"/>
      <c r="C1286" s="115"/>
      <c r="D1286" s="115"/>
      <c r="E1286" s="115"/>
      <c r="F1286" s="105"/>
      <c r="G1286" s="96"/>
      <c r="H1286" s="97"/>
      <c r="I1286" s="96"/>
      <c r="J1286" s="96"/>
      <c r="K1286" s="107"/>
      <c r="L1286" s="107"/>
      <c r="M1286" s="102"/>
    </row>
    <row r="1287" spans="1:13">
      <c r="A1287" s="96"/>
      <c r="B1287" s="97"/>
      <c r="C1287" s="115"/>
      <c r="D1287" s="115"/>
      <c r="E1287" s="115"/>
      <c r="F1287" s="105"/>
      <c r="G1287" s="96"/>
      <c r="H1287" s="97"/>
      <c r="I1287" s="96"/>
      <c r="J1287" s="96"/>
      <c r="K1287" s="107"/>
      <c r="L1287" s="107"/>
      <c r="M1287" s="102"/>
    </row>
    <row r="1288" spans="1:13">
      <c r="A1288" s="96"/>
      <c r="B1288" s="97"/>
      <c r="C1288" s="115"/>
      <c r="D1288" s="115"/>
      <c r="E1288" s="115"/>
      <c r="F1288" s="105"/>
      <c r="G1288" s="96"/>
      <c r="H1288" s="97"/>
      <c r="I1288" s="96"/>
      <c r="J1288" s="96"/>
      <c r="K1288" s="107"/>
      <c r="L1288" s="107"/>
      <c r="M1288" s="102"/>
    </row>
    <row r="1289" spans="1:13">
      <c r="A1289" s="96"/>
      <c r="B1289" s="97"/>
      <c r="C1289" s="115"/>
      <c r="D1289" s="115"/>
      <c r="E1289" s="115"/>
      <c r="F1289" s="105"/>
      <c r="G1289" s="96"/>
      <c r="H1289" s="97"/>
      <c r="I1289" s="96"/>
      <c r="J1289" s="96"/>
      <c r="K1289" s="107"/>
      <c r="L1289" s="107"/>
      <c r="M1289" s="102"/>
    </row>
    <row r="1290" spans="1:13">
      <c r="A1290" s="96"/>
      <c r="B1290" s="97"/>
      <c r="C1290" s="115"/>
      <c r="D1290" s="115"/>
      <c r="E1290" s="115"/>
      <c r="F1290" s="105"/>
      <c r="G1290" s="96"/>
      <c r="H1290" s="97"/>
      <c r="I1290" s="96"/>
      <c r="J1290" s="96"/>
      <c r="K1290" s="107"/>
      <c r="L1290" s="107"/>
      <c r="M1290" s="102"/>
    </row>
    <row r="1291" spans="1:13">
      <c r="A1291" s="96"/>
      <c r="B1291" s="97"/>
      <c r="C1291" s="115"/>
      <c r="D1291" s="115"/>
      <c r="E1291" s="115"/>
      <c r="F1291" s="105"/>
      <c r="G1291" s="96"/>
      <c r="H1291" s="97"/>
      <c r="I1291" s="96"/>
      <c r="J1291" s="96"/>
      <c r="K1291" s="107"/>
      <c r="L1291" s="107"/>
      <c r="M1291" s="102"/>
    </row>
    <row r="1292" spans="1:13">
      <c r="A1292" s="96"/>
      <c r="B1292" s="97"/>
      <c r="C1292" s="115"/>
      <c r="D1292" s="115"/>
      <c r="E1292" s="115"/>
      <c r="F1292" s="105"/>
      <c r="G1292" s="96"/>
      <c r="H1292" s="97"/>
      <c r="I1292" s="96"/>
      <c r="J1292" s="96"/>
      <c r="K1292" s="107"/>
      <c r="L1292" s="107"/>
      <c r="M1292" s="102"/>
    </row>
    <row r="1293" spans="1:13">
      <c r="A1293" s="96"/>
      <c r="B1293" s="97"/>
      <c r="C1293" s="115"/>
      <c r="D1293" s="115"/>
      <c r="E1293" s="115"/>
      <c r="F1293" s="105"/>
      <c r="G1293" s="96"/>
      <c r="H1293" s="97"/>
      <c r="I1293" s="96"/>
      <c r="J1293" s="96"/>
      <c r="K1293" s="107"/>
      <c r="L1293" s="107"/>
      <c r="M1293" s="102"/>
    </row>
    <row r="1294" spans="1:13">
      <c r="A1294" s="96"/>
      <c r="B1294" s="97"/>
      <c r="C1294" s="115"/>
      <c r="D1294" s="115"/>
      <c r="E1294" s="115"/>
      <c r="F1294" s="105"/>
      <c r="G1294" s="96"/>
      <c r="H1294" s="97"/>
      <c r="I1294" s="96"/>
      <c r="J1294" s="96"/>
      <c r="K1294" s="107"/>
      <c r="L1294" s="107"/>
      <c r="M1294" s="102"/>
    </row>
    <row r="1295" spans="1:13">
      <c r="A1295" s="96"/>
      <c r="B1295" s="97"/>
      <c r="C1295" s="115"/>
      <c r="D1295" s="115"/>
      <c r="E1295" s="115"/>
      <c r="F1295" s="105"/>
      <c r="G1295" s="96"/>
      <c r="H1295" s="97"/>
      <c r="I1295" s="96"/>
      <c r="J1295" s="96"/>
      <c r="K1295" s="107"/>
      <c r="L1295" s="107"/>
      <c r="M1295" s="102"/>
    </row>
    <row r="1296" spans="1:13">
      <c r="A1296" s="96"/>
      <c r="B1296" s="97"/>
      <c r="C1296" s="115"/>
      <c r="D1296" s="115"/>
      <c r="E1296" s="115"/>
      <c r="F1296" s="105"/>
      <c r="G1296" s="96"/>
      <c r="H1296" s="97"/>
      <c r="I1296" s="96"/>
      <c r="J1296" s="96"/>
      <c r="K1296" s="107"/>
      <c r="L1296" s="107"/>
      <c r="M1296" s="102"/>
    </row>
    <row r="1297" spans="1:13">
      <c r="A1297" s="96"/>
      <c r="B1297" s="97"/>
      <c r="C1297" s="115"/>
      <c r="D1297" s="115"/>
      <c r="E1297" s="115"/>
      <c r="F1297" s="105"/>
      <c r="G1297" s="96"/>
      <c r="H1297" s="97"/>
      <c r="I1297" s="96"/>
      <c r="J1297" s="96"/>
      <c r="K1297" s="107"/>
      <c r="L1297" s="107"/>
      <c r="M1297" s="102"/>
    </row>
    <row r="1298" spans="1:13">
      <c r="A1298" s="96"/>
      <c r="B1298" s="97"/>
      <c r="C1298" s="115"/>
      <c r="D1298" s="115"/>
      <c r="E1298" s="115"/>
      <c r="F1298" s="105"/>
      <c r="G1298" s="96"/>
      <c r="H1298" s="97"/>
      <c r="I1298" s="96"/>
      <c r="J1298" s="96"/>
      <c r="K1298" s="107"/>
      <c r="L1298" s="107"/>
      <c r="M1298" s="102"/>
    </row>
    <row r="1299" spans="1:13">
      <c r="A1299" s="96"/>
      <c r="B1299" s="97"/>
      <c r="C1299" s="115"/>
      <c r="D1299" s="115"/>
      <c r="E1299" s="115"/>
      <c r="F1299" s="105"/>
      <c r="G1299" s="96"/>
      <c r="H1299" s="97"/>
      <c r="I1299" s="96"/>
      <c r="J1299" s="96"/>
      <c r="K1299" s="107"/>
      <c r="L1299" s="107"/>
      <c r="M1299" s="102"/>
    </row>
    <row r="1300" spans="1:13">
      <c r="A1300" s="96"/>
      <c r="B1300" s="97"/>
      <c r="C1300" s="115"/>
      <c r="D1300" s="115"/>
      <c r="E1300" s="115"/>
      <c r="F1300" s="105"/>
      <c r="G1300" s="96"/>
      <c r="H1300" s="97"/>
      <c r="I1300" s="96"/>
      <c r="J1300" s="96"/>
      <c r="K1300" s="107"/>
      <c r="L1300" s="107"/>
      <c r="M1300" s="102"/>
    </row>
    <row r="1301" spans="1:13">
      <c r="A1301" s="96"/>
      <c r="B1301" s="97"/>
      <c r="C1301" s="115"/>
      <c r="D1301" s="115"/>
      <c r="E1301" s="115"/>
      <c r="F1301" s="105"/>
      <c r="G1301" s="96"/>
      <c r="H1301" s="97"/>
      <c r="I1301" s="96"/>
      <c r="J1301" s="96"/>
      <c r="K1301" s="107"/>
      <c r="L1301" s="107"/>
      <c r="M1301" s="102"/>
    </row>
    <row r="1302" spans="1:13">
      <c r="A1302" s="96"/>
      <c r="B1302" s="97"/>
      <c r="C1302" s="115"/>
      <c r="D1302" s="115"/>
      <c r="E1302" s="115"/>
      <c r="F1302" s="105"/>
      <c r="G1302" s="96"/>
      <c r="H1302" s="97"/>
      <c r="I1302" s="96"/>
      <c r="J1302" s="96"/>
      <c r="K1302" s="107"/>
      <c r="L1302" s="107"/>
      <c r="M1302" s="102"/>
    </row>
    <row r="1303" spans="1:13">
      <c r="A1303" s="96"/>
      <c r="B1303" s="97"/>
      <c r="C1303" s="115"/>
      <c r="D1303" s="115"/>
      <c r="E1303" s="115"/>
      <c r="F1303" s="105"/>
      <c r="G1303" s="96"/>
      <c r="H1303" s="97"/>
      <c r="I1303" s="96"/>
      <c r="J1303" s="96"/>
      <c r="K1303" s="107"/>
      <c r="L1303" s="107"/>
      <c r="M1303" s="102"/>
    </row>
    <row r="1304" spans="1:13">
      <c r="A1304" s="96"/>
      <c r="B1304" s="97"/>
      <c r="C1304" s="115"/>
      <c r="D1304" s="115"/>
      <c r="E1304" s="115"/>
      <c r="F1304" s="105"/>
      <c r="G1304" s="96"/>
      <c r="H1304" s="97"/>
      <c r="I1304" s="96"/>
      <c r="J1304" s="96"/>
      <c r="K1304" s="107"/>
      <c r="L1304" s="107"/>
      <c r="M1304" s="102"/>
    </row>
    <row r="1305" spans="1:13">
      <c r="A1305" s="96"/>
      <c r="B1305" s="97"/>
      <c r="C1305" s="115"/>
      <c r="D1305" s="115"/>
      <c r="E1305" s="115"/>
      <c r="F1305" s="105"/>
      <c r="G1305" s="96"/>
      <c r="H1305" s="97"/>
      <c r="I1305" s="96"/>
      <c r="J1305" s="96"/>
      <c r="K1305" s="107"/>
      <c r="L1305" s="107"/>
      <c r="M1305" s="102"/>
    </row>
    <row r="1306" spans="1:13">
      <c r="A1306" s="96"/>
      <c r="B1306" s="97"/>
      <c r="C1306" s="115"/>
      <c r="D1306" s="115"/>
      <c r="E1306" s="115"/>
      <c r="F1306" s="105"/>
      <c r="G1306" s="96"/>
      <c r="H1306" s="97"/>
      <c r="I1306" s="96"/>
      <c r="J1306" s="96"/>
      <c r="K1306" s="107"/>
      <c r="L1306" s="107"/>
      <c r="M1306" s="102"/>
    </row>
    <row r="1307" spans="1:13">
      <c r="A1307" s="96"/>
      <c r="B1307" s="97"/>
      <c r="C1307" s="115"/>
      <c r="D1307" s="115"/>
      <c r="E1307" s="115"/>
      <c r="F1307" s="105"/>
      <c r="G1307" s="96"/>
      <c r="H1307" s="97"/>
      <c r="I1307" s="96"/>
      <c r="J1307" s="96"/>
      <c r="K1307" s="107"/>
      <c r="L1307" s="107"/>
      <c r="M1307" s="102"/>
    </row>
    <row r="1308" spans="1:13">
      <c r="A1308" s="96"/>
      <c r="B1308" s="97"/>
      <c r="C1308" s="115"/>
      <c r="D1308" s="115"/>
      <c r="E1308" s="115"/>
      <c r="F1308" s="105"/>
      <c r="G1308" s="96"/>
      <c r="H1308" s="97"/>
      <c r="I1308" s="96"/>
      <c r="J1308" s="96"/>
      <c r="K1308" s="107"/>
      <c r="L1308" s="107"/>
      <c r="M1308" s="102"/>
    </row>
    <row r="1309" spans="1:13">
      <c r="A1309" s="96"/>
      <c r="B1309" s="97"/>
      <c r="C1309" s="115"/>
      <c r="D1309" s="115"/>
      <c r="E1309" s="115"/>
      <c r="F1309" s="105"/>
      <c r="G1309" s="96"/>
      <c r="H1309" s="97"/>
      <c r="I1309" s="96"/>
      <c r="J1309" s="96"/>
      <c r="K1309" s="107"/>
      <c r="L1309" s="107"/>
      <c r="M1309" s="102"/>
    </row>
    <row r="1310" spans="1:13">
      <c r="A1310" s="96"/>
      <c r="B1310" s="97"/>
      <c r="C1310" s="115"/>
      <c r="D1310" s="115"/>
      <c r="E1310" s="115"/>
      <c r="F1310" s="105"/>
      <c r="G1310" s="96"/>
      <c r="H1310" s="97"/>
      <c r="I1310" s="96"/>
      <c r="J1310" s="96"/>
      <c r="K1310" s="107"/>
      <c r="L1310" s="107"/>
      <c r="M1310" s="102"/>
    </row>
    <row r="1311" spans="1:13">
      <c r="A1311" s="96"/>
      <c r="B1311" s="97"/>
      <c r="C1311" s="115"/>
      <c r="D1311" s="115"/>
      <c r="E1311" s="115"/>
      <c r="F1311" s="105"/>
      <c r="G1311" s="96"/>
      <c r="H1311" s="97"/>
      <c r="I1311" s="96"/>
      <c r="J1311" s="96"/>
      <c r="K1311" s="107"/>
      <c r="L1311" s="107"/>
      <c r="M1311" s="102"/>
    </row>
    <row r="1312" spans="1:13">
      <c r="A1312" s="96"/>
      <c r="B1312" s="97"/>
      <c r="C1312" s="115"/>
      <c r="D1312" s="115"/>
      <c r="E1312" s="115"/>
      <c r="F1312" s="105"/>
      <c r="G1312" s="96"/>
      <c r="H1312" s="97"/>
      <c r="I1312" s="96"/>
      <c r="J1312" s="96"/>
      <c r="K1312" s="107"/>
      <c r="L1312" s="107"/>
      <c r="M1312" s="102"/>
    </row>
    <row r="1313" spans="1:13">
      <c r="A1313" s="96"/>
      <c r="B1313" s="97"/>
      <c r="C1313" s="115"/>
      <c r="D1313" s="115"/>
      <c r="E1313" s="115"/>
      <c r="F1313" s="105"/>
      <c r="G1313" s="96"/>
      <c r="H1313" s="97"/>
      <c r="I1313" s="96"/>
      <c r="J1313" s="96"/>
      <c r="K1313" s="107"/>
      <c r="L1313" s="107"/>
      <c r="M1313" s="102"/>
    </row>
    <row r="1314" spans="1:13">
      <c r="A1314" s="96"/>
      <c r="B1314" s="97"/>
      <c r="C1314" s="115"/>
      <c r="D1314" s="115"/>
      <c r="E1314" s="115"/>
      <c r="F1314" s="105"/>
      <c r="G1314" s="96"/>
      <c r="H1314" s="97"/>
      <c r="I1314" s="96"/>
      <c r="J1314" s="96"/>
      <c r="K1314" s="107"/>
      <c r="L1314" s="107"/>
      <c r="M1314" s="102"/>
    </row>
    <row r="1315" spans="1:13">
      <c r="A1315" s="96"/>
      <c r="B1315" s="97"/>
      <c r="C1315" s="115"/>
      <c r="D1315" s="115"/>
      <c r="E1315" s="115"/>
      <c r="F1315" s="105"/>
      <c r="G1315" s="96"/>
      <c r="H1315" s="97"/>
      <c r="I1315" s="96"/>
      <c r="J1315" s="96"/>
      <c r="K1315" s="107"/>
      <c r="L1315" s="107"/>
      <c r="M1315" s="102"/>
    </row>
    <row r="1316" spans="1:13">
      <c r="A1316" s="96"/>
      <c r="B1316" s="97"/>
      <c r="C1316" s="115"/>
      <c r="D1316" s="115"/>
      <c r="E1316" s="115"/>
      <c r="F1316" s="105"/>
      <c r="G1316" s="96"/>
      <c r="H1316" s="97"/>
      <c r="I1316" s="96"/>
      <c r="J1316" s="96"/>
      <c r="K1316" s="107"/>
      <c r="L1316" s="107"/>
      <c r="M1316" s="102"/>
    </row>
    <row r="1317" spans="1:13">
      <c r="A1317" s="96"/>
      <c r="B1317" s="97"/>
      <c r="C1317" s="115"/>
      <c r="D1317" s="115"/>
      <c r="E1317" s="115"/>
      <c r="F1317" s="105"/>
      <c r="G1317" s="96"/>
      <c r="H1317" s="97"/>
      <c r="I1317" s="96"/>
      <c r="J1317" s="96"/>
      <c r="K1317" s="107"/>
      <c r="L1317" s="107"/>
      <c r="M1317" s="102"/>
    </row>
    <row r="1318" spans="1:13">
      <c r="A1318" s="96"/>
      <c r="B1318" s="97"/>
      <c r="C1318" s="115"/>
      <c r="D1318" s="115"/>
      <c r="E1318" s="115"/>
      <c r="F1318" s="105"/>
      <c r="G1318" s="96"/>
      <c r="H1318" s="97"/>
      <c r="I1318" s="96"/>
      <c r="J1318" s="96"/>
      <c r="K1318" s="107"/>
      <c r="L1318" s="107"/>
      <c r="M1318" s="102"/>
    </row>
    <row r="1319" spans="1:13">
      <c r="A1319" s="96"/>
      <c r="B1319" s="97"/>
      <c r="C1319" s="115"/>
      <c r="D1319" s="115"/>
      <c r="E1319" s="115"/>
      <c r="F1319" s="105"/>
      <c r="G1319" s="96"/>
      <c r="H1319" s="97"/>
      <c r="I1319" s="96"/>
      <c r="J1319" s="96"/>
      <c r="K1319" s="107"/>
      <c r="L1319" s="107"/>
      <c r="M1319" s="102"/>
    </row>
    <row r="1320" spans="1:13">
      <c r="A1320" s="96"/>
      <c r="B1320" s="97"/>
      <c r="C1320" s="115"/>
      <c r="D1320" s="115"/>
      <c r="E1320" s="115"/>
      <c r="F1320" s="105"/>
      <c r="G1320" s="96"/>
      <c r="H1320" s="97"/>
      <c r="I1320" s="96"/>
      <c r="J1320" s="96"/>
      <c r="K1320" s="107"/>
      <c r="L1320" s="107"/>
      <c r="M1320" s="102"/>
    </row>
    <row r="1321" spans="1:13">
      <c r="A1321" s="96"/>
      <c r="B1321" s="97"/>
      <c r="C1321" s="115"/>
      <c r="D1321" s="115"/>
      <c r="E1321" s="115"/>
      <c r="F1321" s="105"/>
      <c r="G1321" s="96"/>
      <c r="H1321" s="97"/>
      <c r="I1321" s="96"/>
      <c r="J1321" s="96"/>
      <c r="K1321" s="107"/>
      <c r="L1321" s="107"/>
      <c r="M1321" s="102"/>
    </row>
    <row r="1322" spans="1:13">
      <c r="A1322" s="96"/>
      <c r="B1322" s="97"/>
      <c r="C1322" s="115"/>
      <c r="D1322" s="115"/>
      <c r="E1322" s="115"/>
      <c r="F1322" s="105"/>
      <c r="G1322" s="96"/>
      <c r="H1322" s="97"/>
      <c r="I1322" s="96"/>
      <c r="J1322" s="96"/>
      <c r="K1322" s="107"/>
      <c r="L1322" s="107"/>
      <c r="M1322" s="102"/>
    </row>
    <row r="1323" spans="1:13">
      <c r="A1323" s="96"/>
      <c r="B1323" s="97"/>
      <c r="C1323" s="115"/>
      <c r="D1323" s="115"/>
      <c r="E1323" s="115"/>
      <c r="F1323" s="105"/>
      <c r="G1323" s="96"/>
      <c r="H1323" s="97"/>
      <c r="I1323" s="96"/>
      <c r="J1323" s="96"/>
      <c r="K1323" s="107"/>
      <c r="L1323" s="107"/>
      <c r="M1323" s="102"/>
    </row>
    <row r="1324" spans="1:13">
      <c r="A1324" s="96"/>
      <c r="B1324" s="97"/>
      <c r="C1324" s="115"/>
      <c r="D1324" s="115"/>
      <c r="E1324" s="115"/>
      <c r="F1324" s="105"/>
      <c r="G1324" s="96"/>
      <c r="H1324" s="97"/>
      <c r="I1324" s="96"/>
      <c r="J1324" s="96"/>
      <c r="K1324" s="107"/>
      <c r="L1324" s="107"/>
      <c r="M1324" s="102"/>
    </row>
    <row r="1325" spans="1:13">
      <c r="A1325" s="96"/>
      <c r="B1325" s="97"/>
      <c r="C1325" s="115"/>
      <c r="D1325" s="115"/>
      <c r="E1325" s="115"/>
      <c r="F1325" s="105"/>
      <c r="G1325" s="96"/>
      <c r="H1325" s="97"/>
      <c r="I1325" s="96"/>
      <c r="J1325" s="96"/>
      <c r="K1325" s="107"/>
      <c r="L1325" s="107"/>
      <c r="M1325" s="102"/>
    </row>
    <row r="1326" spans="1:13">
      <c r="A1326" s="96"/>
      <c r="B1326" s="97"/>
      <c r="C1326" s="115"/>
      <c r="D1326" s="115"/>
      <c r="E1326" s="115"/>
      <c r="F1326" s="105"/>
      <c r="G1326" s="96"/>
      <c r="H1326" s="97"/>
      <c r="I1326" s="96"/>
      <c r="J1326" s="96"/>
      <c r="K1326" s="107"/>
      <c r="L1326" s="107"/>
      <c r="M1326" s="102"/>
    </row>
    <row r="1327" spans="1:13">
      <c r="A1327" s="96"/>
      <c r="B1327" s="97"/>
      <c r="C1327" s="115"/>
      <c r="D1327" s="115"/>
      <c r="E1327" s="115"/>
      <c r="F1327" s="105"/>
      <c r="G1327" s="96"/>
      <c r="H1327" s="97"/>
      <c r="I1327" s="96"/>
      <c r="J1327" s="96"/>
      <c r="K1327" s="107"/>
      <c r="L1327" s="107"/>
      <c r="M1327" s="102"/>
    </row>
    <row r="1328" spans="1:13">
      <c r="A1328" s="96"/>
      <c r="B1328" s="97"/>
      <c r="C1328" s="115"/>
      <c r="D1328" s="115"/>
      <c r="E1328" s="115"/>
      <c r="F1328" s="105"/>
      <c r="G1328" s="96"/>
      <c r="H1328" s="97"/>
      <c r="I1328" s="96"/>
      <c r="J1328" s="96"/>
      <c r="K1328" s="107"/>
      <c r="L1328" s="107"/>
      <c r="M1328" s="102"/>
    </row>
    <row r="1329" spans="1:13">
      <c r="A1329" s="96"/>
      <c r="B1329" s="97"/>
      <c r="C1329" s="115"/>
      <c r="D1329" s="115"/>
      <c r="E1329" s="115"/>
      <c r="F1329" s="105"/>
      <c r="G1329" s="96"/>
      <c r="H1329" s="97"/>
      <c r="I1329" s="96"/>
      <c r="J1329" s="96"/>
      <c r="K1329" s="107"/>
      <c r="L1329" s="107"/>
      <c r="M1329" s="102"/>
    </row>
    <row r="1330" spans="1:13">
      <c r="A1330" s="96"/>
      <c r="B1330" s="97"/>
      <c r="C1330" s="115"/>
      <c r="D1330" s="115"/>
      <c r="E1330" s="115"/>
      <c r="F1330" s="105"/>
      <c r="G1330" s="96"/>
      <c r="H1330" s="97"/>
      <c r="I1330" s="96"/>
      <c r="J1330" s="96"/>
      <c r="K1330" s="107"/>
      <c r="L1330" s="107"/>
      <c r="M1330" s="102"/>
    </row>
    <row r="1331" spans="1:13">
      <c r="A1331" s="96"/>
      <c r="B1331" s="97"/>
      <c r="C1331" s="115"/>
      <c r="D1331" s="115"/>
      <c r="E1331" s="115"/>
      <c r="F1331" s="105"/>
      <c r="G1331" s="96"/>
      <c r="H1331" s="97"/>
      <c r="I1331" s="96"/>
      <c r="J1331" s="96"/>
      <c r="K1331" s="107"/>
      <c r="L1331" s="107"/>
      <c r="M1331" s="102"/>
    </row>
    <row r="1332" spans="1:13">
      <c r="A1332" s="96"/>
      <c r="B1332" s="97"/>
      <c r="C1332" s="115"/>
      <c r="D1332" s="115"/>
      <c r="E1332" s="115"/>
      <c r="F1332" s="105"/>
      <c r="G1332" s="96"/>
      <c r="H1332" s="97"/>
      <c r="I1332" s="96"/>
      <c r="J1332" s="96"/>
      <c r="K1332" s="107"/>
      <c r="L1332" s="107"/>
      <c r="M1332" s="102"/>
    </row>
    <row r="1333" spans="1:13">
      <c r="A1333" s="96"/>
      <c r="B1333" s="97"/>
      <c r="C1333" s="115"/>
      <c r="D1333" s="115"/>
      <c r="E1333" s="115"/>
      <c r="F1333" s="105"/>
      <c r="G1333" s="96"/>
      <c r="H1333" s="97"/>
      <c r="I1333" s="96"/>
      <c r="J1333" s="96"/>
      <c r="K1333" s="107"/>
      <c r="L1333" s="107"/>
      <c r="M1333" s="102"/>
    </row>
    <row r="1334" spans="1:13">
      <c r="A1334" s="96"/>
      <c r="B1334" s="97"/>
      <c r="C1334" s="115"/>
      <c r="D1334" s="115"/>
      <c r="E1334" s="115"/>
      <c r="F1334" s="105"/>
      <c r="G1334" s="96"/>
      <c r="H1334" s="97"/>
      <c r="I1334" s="96"/>
      <c r="J1334" s="96"/>
      <c r="K1334" s="107"/>
      <c r="L1334" s="107"/>
      <c r="M1334" s="102"/>
    </row>
    <row r="1335" spans="1:13">
      <c r="A1335" s="96"/>
      <c r="B1335" s="97"/>
      <c r="C1335" s="115"/>
      <c r="D1335" s="115"/>
      <c r="E1335" s="115"/>
      <c r="F1335" s="105"/>
      <c r="G1335" s="96"/>
      <c r="H1335" s="97"/>
      <c r="I1335" s="96"/>
      <c r="J1335" s="96"/>
      <c r="K1335" s="107"/>
      <c r="L1335" s="107"/>
      <c r="M1335" s="102"/>
    </row>
    <row r="1336" spans="1:13">
      <c r="A1336" s="96"/>
      <c r="B1336" s="97"/>
      <c r="C1336" s="115"/>
      <c r="D1336" s="115"/>
      <c r="E1336" s="115"/>
      <c r="F1336" s="105"/>
      <c r="G1336" s="96"/>
      <c r="H1336" s="97"/>
      <c r="I1336" s="96"/>
      <c r="J1336" s="96"/>
      <c r="K1336" s="107"/>
      <c r="L1336" s="107"/>
      <c r="M1336" s="102"/>
    </row>
    <row r="1337" spans="1:13">
      <c r="A1337" s="96"/>
      <c r="B1337" s="97"/>
      <c r="C1337" s="115"/>
      <c r="D1337" s="115"/>
      <c r="E1337" s="115"/>
      <c r="F1337" s="105"/>
      <c r="G1337" s="96"/>
      <c r="H1337" s="97"/>
      <c r="I1337" s="96"/>
      <c r="J1337" s="96"/>
      <c r="K1337" s="107"/>
      <c r="L1337" s="107"/>
      <c r="M1337" s="102"/>
    </row>
    <row r="1338" spans="1:13">
      <c r="A1338" s="96"/>
      <c r="B1338" s="97"/>
      <c r="C1338" s="115"/>
      <c r="D1338" s="115"/>
      <c r="E1338" s="115"/>
      <c r="F1338" s="105"/>
      <c r="G1338" s="96"/>
      <c r="H1338" s="97"/>
      <c r="I1338" s="96"/>
      <c r="J1338" s="96"/>
      <c r="K1338" s="107"/>
      <c r="L1338" s="107"/>
      <c r="M1338" s="102"/>
    </row>
    <row r="1339" spans="1:13">
      <c r="A1339" s="96"/>
      <c r="B1339" s="97"/>
      <c r="C1339" s="115"/>
      <c r="D1339" s="115"/>
      <c r="E1339" s="115"/>
      <c r="F1339" s="105"/>
      <c r="G1339" s="96"/>
      <c r="H1339" s="97"/>
      <c r="I1339" s="96"/>
      <c r="J1339" s="96"/>
      <c r="K1339" s="107"/>
      <c r="L1339" s="107"/>
      <c r="M1339" s="102"/>
    </row>
    <row r="1340" spans="1:13">
      <c r="A1340" s="96"/>
      <c r="B1340" s="97"/>
      <c r="C1340" s="115"/>
      <c r="D1340" s="115"/>
      <c r="E1340" s="115"/>
      <c r="F1340" s="105"/>
      <c r="G1340" s="96"/>
      <c r="H1340" s="97"/>
      <c r="I1340" s="96"/>
      <c r="J1340" s="96"/>
      <c r="K1340" s="107"/>
      <c r="L1340" s="107"/>
      <c r="M1340" s="102"/>
    </row>
    <row r="1341" spans="1:13">
      <c r="A1341" s="96"/>
      <c r="B1341" s="97"/>
      <c r="C1341" s="115"/>
      <c r="D1341" s="115"/>
      <c r="E1341" s="115"/>
      <c r="F1341" s="105"/>
      <c r="G1341" s="96"/>
      <c r="H1341" s="97"/>
      <c r="I1341" s="96"/>
      <c r="J1341" s="96"/>
      <c r="K1341" s="107"/>
      <c r="L1341" s="107"/>
      <c r="M1341" s="102"/>
    </row>
    <row r="1342" spans="1:13">
      <c r="A1342" s="96"/>
      <c r="B1342" s="97"/>
      <c r="C1342" s="115"/>
      <c r="D1342" s="115"/>
      <c r="E1342" s="115"/>
      <c r="F1342" s="105"/>
      <c r="G1342" s="96"/>
      <c r="H1342" s="97"/>
      <c r="I1342" s="96"/>
      <c r="J1342" s="96"/>
      <c r="K1342" s="107"/>
      <c r="L1342" s="107"/>
      <c r="M1342" s="102"/>
    </row>
    <row r="1343" spans="1:13">
      <c r="A1343" s="96"/>
      <c r="B1343" s="97"/>
      <c r="C1343" s="115"/>
      <c r="D1343" s="115"/>
      <c r="E1343" s="115"/>
      <c r="F1343" s="105"/>
      <c r="G1343" s="96"/>
      <c r="H1343" s="97"/>
      <c r="I1343" s="96"/>
      <c r="J1343" s="96"/>
      <c r="K1343" s="107"/>
      <c r="L1343" s="107"/>
      <c r="M1343" s="102"/>
    </row>
    <row r="1344" spans="1:13">
      <c r="A1344" s="96"/>
      <c r="B1344" s="97"/>
      <c r="C1344" s="115"/>
      <c r="D1344" s="115"/>
      <c r="E1344" s="115"/>
      <c r="F1344" s="105"/>
      <c r="G1344" s="96"/>
      <c r="H1344" s="97"/>
      <c r="I1344" s="96"/>
      <c r="J1344" s="96"/>
      <c r="K1344" s="107"/>
      <c r="L1344" s="107"/>
      <c r="M1344" s="102"/>
    </row>
    <row r="1345" spans="1:13">
      <c r="A1345" s="96"/>
      <c r="B1345" s="97"/>
      <c r="C1345" s="115"/>
      <c r="D1345" s="115"/>
      <c r="E1345" s="115"/>
      <c r="F1345" s="105"/>
      <c r="G1345" s="96"/>
      <c r="H1345" s="97"/>
      <c r="I1345" s="96"/>
      <c r="J1345" s="96"/>
      <c r="K1345" s="107"/>
      <c r="L1345" s="107"/>
      <c r="M1345" s="102"/>
    </row>
    <row r="1346" spans="1:13">
      <c r="A1346" s="96"/>
      <c r="B1346" s="97"/>
      <c r="C1346" s="115"/>
      <c r="D1346" s="115"/>
      <c r="E1346" s="115"/>
      <c r="F1346" s="105"/>
      <c r="G1346" s="96"/>
      <c r="H1346" s="97"/>
      <c r="I1346" s="96"/>
      <c r="J1346" s="96"/>
      <c r="K1346" s="107"/>
      <c r="L1346" s="107"/>
      <c r="M1346" s="102"/>
    </row>
    <row r="1347" spans="1:13">
      <c r="A1347" s="96"/>
      <c r="B1347" s="97"/>
      <c r="C1347" s="115"/>
      <c r="D1347" s="115"/>
      <c r="E1347" s="115"/>
      <c r="F1347" s="105"/>
      <c r="G1347" s="96"/>
      <c r="H1347" s="97"/>
      <c r="I1347" s="96"/>
      <c r="J1347" s="96"/>
      <c r="K1347" s="107"/>
      <c r="L1347" s="107"/>
      <c r="M1347" s="102"/>
    </row>
    <row r="1348" spans="1:13">
      <c r="A1348" s="96"/>
      <c r="B1348" s="97"/>
      <c r="C1348" s="115"/>
      <c r="D1348" s="115"/>
      <c r="E1348" s="115"/>
      <c r="F1348" s="105"/>
      <c r="G1348" s="96"/>
      <c r="H1348" s="97"/>
      <c r="I1348" s="96"/>
      <c r="J1348" s="96"/>
      <c r="K1348" s="107"/>
      <c r="L1348" s="107"/>
      <c r="M1348" s="102"/>
    </row>
    <row r="1349" spans="1:13">
      <c r="A1349" s="96"/>
      <c r="B1349" s="97"/>
      <c r="C1349" s="115"/>
      <c r="D1349" s="115"/>
      <c r="E1349" s="115"/>
      <c r="F1349" s="105"/>
      <c r="G1349" s="96"/>
      <c r="H1349" s="97"/>
      <c r="I1349" s="96"/>
      <c r="J1349" s="96"/>
      <c r="K1349" s="107"/>
      <c r="L1349" s="107"/>
      <c r="M1349" s="102"/>
    </row>
    <row r="1350" spans="1:13">
      <c r="A1350" s="96"/>
      <c r="B1350" s="97"/>
      <c r="C1350" s="115"/>
      <c r="D1350" s="115"/>
      <c r="E1350" s="115"/>
      <c r="F1350" s="105"/>
      <c r="G1350" s="96"/>
      <c r="H1350" s="97"/>
      <c r="I1350" s="96"/>
      <c r="J1350" s="96"/>
      <c r="K1350" s="107"/>
      <c r="L1350" s="107"/>
      <c r="M1350" s="102"/>
    </row>
    <row r="1351" spans="1:13">
      <c r="A1351" s="96"/>
      <c r="B1351" s="97"/>
      <c r="C1351" s="115"/>
      <c r="D1351" s="115"/>
      <c r="E1351" s="115"/>
      <c r="F1351" s="105"/>
      <c r="G1351" s="96"/>
      <c r="H1351" s="97"/>
      <c r="I1351" s="96"/>
      <c r="J1351" s="96"/>
      <c r="K1351" s="107"/>
      <c r="L1351" s="107"/>
      <c r="M1351" s="102"/>
    </row>
    <row r="1352" spans="1:13">
      <c r="A1352" s="96"/>
      <c r="B1352" s="97"/>
      <c r="C1352" s="115"/>
      <c r="D1352" s="115"/>
      <c r="E1352" s="115"/>
      <c r="F1352" s="105"/>
      <c r="G1352" s="96"/>
      <c r="H1352" s="97"/>
      <c r="I1352" s="96"/>
      <c r="J1352" s="96"/>
      <c r="K1352" s="107"/>
      <c r="L1352" s="107"/>
      <c r="M1352" s="102"/>
    </row>
    <row r="1353" spans="1:13">
      <c r="A1353" s="96"/>
      <c r="B1353" s="97"/>
      <c r="C1353" s="115"/>
      <c r="D1353" s="115"/>
      <c r="E1353" s="115"/>
      <c r="F1353" s="105"/>
      <c r="G1353" s="96"/>
      <c r="H1353" s="97"/>
      <c r="I1353" s="96"/>
      <c r="J1353" s="96"/>
      <c r="K1353" s="107"/>
      <c r="L1353" s="107"/>
      <c r="M1353" s="102"/>
    </row>
    <row r="1354" spans="1:13">
      <c r="A1354" s="96"/>
      <c r="B1354" s="97"/>
      <c r="C1354" s="115"/>
      <c r="D1354" s="115"/>
      <c r="E1354" s="115"/>
      <c r="F1354" s="105"/>
      <c r="G1354" s="96"/>
      <c r="H1354" s="97"/>
      <c r="I1354" s="96"/>
      <c r="J1354" s="96"/>
      <c r="K1354" s="107"/>
      <c r="L1354" s="107"/>
      <c r="M1354" s="102"/>
    </row>
    <row r="1355" spans="1:13">
      <c r="A1355" s="96"/>
      <c r="B1355" s="97"/>
      <c r="C1355" s="115"/>
      <c r="D1355" s="115"/>
      <c r="E1355" s="115"/>
      <c r="F1355" s="105"/>
      <c r="G1355" s="96"/>
      <c r="H1355" s="97"/>
      <c r="I1355" s="96"/>
      <c r="J1355" s="96"/>
      <c r="K1355" s="107"/>
      <c r="L1355" s="107"/>
      <c r="M1355" s="102"/>
    </row>
    <row r="1356" spans="1:13">
      <c r="A1356" s="96"/>
      <c r="B1356" s="97"/>
      <c r="C1356" s="115"/>
      <c r="D1356" s="115"/>
      <c r="E1356" s="115"/>
      <c r="F1356" s="105"/>
      <c r="G1356" s="96"/>
      <c r="H1356" s="97"/>
      <c r="I1356" s="96"/>
      <c r="J1356" s="96"/>
      <c r="K1356" s="107"/>
      <c r="L1356" s="107"/>
      <c r="M1356" s="102"/>
    </row>
    <row r="1357" spans="1:13">
      <c r="A1357" s="96"/>
      <c r="B1357" s="97"/>
      <c r="C1357" s="115"/>
      <c r="D1357" s="115"/>
      <c r="E1357" s="115"/>
      <c r="F1357" s="105"/>
      <c r="G1357" s="96"/>
      <c r="H1357" s="97"/>
      <c r="I1357" s="96"/>
      <c r="J1357" s="96"/>
      <c r="K1357" s="107"/>
      <c r="L1357" s="107"/>
      <c r="M1357" s="102"/>
    </row>
    <row r="1358" spans="1:13">
      <c r="A1358" s="96"/>
      <c r="B1358" s="97"/>
      <c r="C1358" s="115"/>
      <c r="D1358" s="115"/>
      <c r="E1358" s="115"/>
      <c r="F1358" s="105"/>
      <c r="G1358" s="96"/>
      <c r="H1358" s="97"/>
      <c r="I1358" s="96"/>
      <c r="J1358" s="96"/>
      <c r="K1358" s="107"/>
      <c r="L1358" s="107"/>
      <c r="M1358" s="102"/>
    </row>
    <row r="1359" spans="1:13">
      <c r="A1359" s="96"/>
      <c r="B1359" s="97"/>
      <c r="C1359" s="115"/>
      <c r="D1359" s="115"/>
      <c r="E1359" s="115"/>
      <c r="F1359" s="105"/>
      <c r="G1359" s="96"/>
      <c r="H1359" s="97"/>
      <c r="I1359" s="96"/>
      <c r="J1359" s="96"/>
      <c r="K1359" s="107"/>
      <c r="L1359" s="107"/>
      <c r="M1359" s="102"/>
    </row>
    <row r="1360" spans="1:13">
      <c r="A1360" s="96"/>
      <c r="B1360" s="97"/>
      <c r="C1360" s="115"/>
      <c r="D1360" s="115"/>
      <c r="E1360" s="115"/>
      <c r="F1360" s="105"/>
      <c r="G1360" s="96"/>
      <c r="H1360" s="97"/>
      <c r="I1360" s="96"/>
      <c r="J1360" s="96"/>
      <c r="K1360" s="107"/>
      <c r="L1360" s="107"/>
      <c r="M1360" s="102"/>
    </row>
    <row r="1361" spans="1:13">
      <c r="A1361" s="96"/>
      <c r="B1361" s="97"/>
      <c r="C1361" s="115"/>
      <c r="D1361" s="115"/>
      <c r="E1361" s="115"/>
      <c r="F1361" s="105"/>
      <c r="G1361" s="96"/>
      <c r="H1361" s="97"/>
      <c r="I1361" s="96"/>
      <c r="J1361" s="96"/>
      <c r="K1361" s="107"/>
      <c r="L1361" s="107"/>
      <c r="M1361" s="102"/>
    </row>
    <row r="1362" spans="1:13">
      <c r="A1362" s="96"/>
      <c r="B1362" s="97"/>
      <c r="C1362" s="115"/>
      <c r="D1362" s="115"/>
      <c r="E1362" s="115"/>
      <c r="F1362" s="105"/>
      <c r="G1362" s="96"/>
      <c r="H1362" s="97"/>
      <c r="I1362" s="96"/>
      <c r="J1362" s="96"/>
      <c r="K1362" s="107"/>
      <c r="L1362" s="107"/>
      <c r="M1362" s="102"/>
    </row>
    <row r="1363" spans="1:13">
      <c r="A1363" s="96"/>
      <c r="B1363" s="97"/>
      <c r="C1363" s="115"/>
      <c r="D1363" s="115"/>
      <c r="E1363" s="115"/>
      <c r="F1363" s="105"/>
      <c r="G1363" s="96"/>
      <c r="H1363" s="97"/>
      <c r="I1363" s="96"/>
      <c r="J1363" s="96"/>
      <c r="K1363" s="107"/>
      <c r="L1363" s="107"/>
      <c r="M1363" s="102"/>
    </row>
    <row r="1364" spans="1:13">
      <c r="A1364" s="96"/>
      <c r="B1364" s="97"/>
      <c r="C1364" s="115"/>
      <c r="D1364" s="115"/>
      <c r="E1364" s="115"/>
      <c r="F1364" s="105"/>
      <c r="G1364" s="96"/>
      <c r="H1364" s="97"/>
      <c r="I1364" s="96"/>
      <c r="J1364" s="96"/>
      <c r="K1364" s="107"/>
      <c r="L1364" s="107"/>
      <c r="M1364" s="102"/>
    </row>
    <row r="1365" spans="1:13">
      <c r="A1365" s="96"/>
      <c r="B1365" s="97"/>
      <c r="C1365" s="115"/>
      <c r="D1365" s="115"/>
      <c r="E1365" s="115"/>
      <c r="F1365" s="105"/>
      <c r="G1365" s="96"/>
      <c r="H1365" s="97"/>
      <c r="I1365" s="96"/>
      <c r="J1365" s="96"/>
      <c r="K1365" s="107"/>
      <c r="L1365" s="107"/>
      <c r="M1365" s="102"/>
    </row>
    <row r="1366" spans="1:13">
      <c r="A1366" s="96"/>
      <c r="B1366" s="97"/>
      <c r="C1366" s="115"/>
      <c r="D1366" s="115"/>
      <c r="E1366" s="115"/>
      <c r="F1366" s="105"/>
      <c r="G1366" s="96"/>
      <c r="H1366" s="97"/>
      <c r="I1366" s="96"/>
      <c r="J1366" s="96"/>
      <c r="K1366" s="107"/>
      <c r="L1366" s="107"/>
      <c r="M1366" s="102"/>
    </row>
    <row r="1367" spans="1:13">
      <c r="A1367" s="96"/>
      <c r="B1367" s="97"/>
      <c r="C1367" s="115"/>
      <c r="D1367" s="115"/>
      <c r="E1367" s="115"/>
      <c r="F1367" s="105"/>
      <c r="G1367" s="96"/>
      <c r="H1367" s="97"/>
      <c r="I1367" s="96"/>
      <c r="J1367" s="96"/>
      <c r="K1367" s="107"/>
      <c r="L1367" s="107"/>
      <c r="M1367" s="102"/>
    </row>
    <row r="1368" spans="1:13">
      <c r="A1368" s="96"/>
      <c r="B1368" s="97"/>
      <c r="C1368" s="115"/>
      <c r="D1368" s="115"/>
      <c r="E1368" s="115"/>
      <c r="F1368" s="105"/>
      <c r="G1368" s="96"/>
      <c r="H1368" s="97"/>
      <c r="I1368" s="96"/>
      <c r="J1368" s="96"/>
      <c r="K1368" s="107"/>
      <c r="L1368" s="107"/>
      <c r="M1368" s="102"/>
    </row>
    <row r="1369" spans="1:13">
      <c r="A1369" s="96"/>
      <c r="B1369" s="97"/>
      <c r="C1369" s="115"/>
      <c r="D1369" s="115"/>
      <c r="E1369" s="115"/>
      <c r="F1369" s="105"/>
      <c r="G1369" s="96"/>
      <c r="H1369" s="97"/>
      <c r="I1369" s="96"/>
      <c r="J1369" s="96"/>
      <c r="K1369" s="107"/>
      <c r="L1369" s="107"/>
      <c r="M1369" s="102"/>
    </row>
    <row r="1370" spans="1:13">
      <c r="A1370" s="96"/>
      <c r="B1370" s="97"/>
      <c r="C1370" s="115"/>
      <c r="D1370" s="115"/>
      <c r="E1370" s="115"/>
      <c r="F1370" s="105"/>
      <c r="G1370" s="96"/>
      <c r="H1370" s="97"/>
      <c r="I1370" s="96"/>
      <c r="J1370" s="96"/>
      <c r="K1370" s="107"/>
      <c r="L1370" s="107"/>
      <c r="M1370" s="102"/>
    </row>
    <row r="1371" spans="1:13">
      <c r="A1371" s="96"/>
      <c r="B1371" s="97"/>
      <c r="C1371" s="115"/>
      <c r="D1371" s="115"/>
      <c r="E1371" s="115"/>
      <c r="F1371" s="105"/>
      <c r="G1371" s="96"/>
      <c r="H1371" s="97"/>
      <c r="I1371" s="96"/>
      <c r="J1371" s="96"/>
      <c r="K1371" s="107"/>
      <c r="L1371" s="107"/>
      <c r="M1371" s="102"/>
    </row>
  </sheetData>
  <autoFilter ref="A9:M531" xr:uid="{00000000-0001-0000-0000-000000000000}"/>
  <mergeCells count="1">
    <mergeCell ref="A8:M8"/>
  </mergeCells>
  <pageMargins left="0.31496062992125984" right="0.31496062992125984" top="0.39370078740157483" bottom="0.39370078740157483" header="0.31496062992125984" footer="0.31496062992125984"/>
  <pageSetup paperSize="9" scale="85" orientation="landscape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0F8D3-9107-4D59-B7AF-F1D577BEBD45}">
  <sheetPr>
    <tabColor theme="9"/>
  </sheetPr>
  <dimension ref="B2:K33"/>
  <sheetViews>
    <sheetView showGridLines="0" showZeros="0" topLeftCell="A19" zoomScaleNormal="100" workbookViewId="0">
      <selection activeCell="K32" sqref="K32"/>
    </sheetView>
  </sheetViews>
  <sheetFormatPr defaultRowHeight="15"/>
  <cols>
    <col min="1" max="1" width="7" customWidth="1"/>
    <col min="2" max="2" width="4.140625" customWidth="1"/>
    <col min="3" max="3" width="35.7109375" customWidth="1"/>
    <col min="4" max="4" width="26.42578125" customWidth="1"/>
    <col min="5" max="5" width="21.42578125" customWidth="1"/>
    <col min="6" max="6" width="20.5703125" customWidth="1"/>
    <col min="7" max="7" width="15.7109375" customWidth="1"/>
    <col min="8" max="8" width="16.5703125" customWidth="1"/>
    <col min="9" max="9" width="14.140625" customWidth="1"/>
    <col min="10" max="10" width="13.42578125" customWidth="1"/>
    <col min="11" max="13" width="11.28515625" customWidth="1"/>
  </cols>
  <sheetData>
    <row r="2" spans="2:11" ht="19.5" customHeight="1">
      <c r="C2" s="618" t="s">
        <v>702</v>
      </c>
      <c r="D2" s="619"/>
      <c r="E2" s="619"/>
      <c r="F2" s="620"/>
    </row>
    <row r="3" spans="2:11" ht="47.25">
      <c r="C3" s="415" t="s">
        <v>4</v>
      </c>
      <c r="D3" s="415" t="s">
        <v>703</v>
      </c>
      <c r="E3" s="415" t="s">
        <v>704</v>
      </c>
      <c r="F3" s="415" t="s">
        <v>705</v>
      </c>
    </row>
    <row r="4" spans="2:11" ht="15.75">
      <c r="C4" s="416">
        <v>1</v>
      </c>
      <c r="D4" s="416" t="s">
        <v>675</v>
      </c>
      <c r="E4" s="416" t="s">
        <v>706</v>
      </c>
      <c r="F4" s="417">
        <v>2</v>
      </c>
    </row>
    <row r="5" spans="2:11" ht="15.75">
      <c r="B5" s="3"/>
      <c r="C5" s="416">
        <v>2</v>
      </c>
      <c r="D5" s="416" t="s">
        <v>1170</v>
      </c>
      <c r="E5" s="416" t="s">
        <v>706</v>
      </c>
      <c r="F5" s="417">
        <v>1</v>
      </c>
      <c r="G5" s="4"/>
      <c r="H5" s="4"/>
      <c r="I5" s="4"/>
      <c r="J5" s="4"/>
    </row>
    <row r="6" spans="2:11">
      <c r="B6" s="5"/>
      <c r="C6" s="5"/>
      <c r="D6" s="5"/>
      <c r="E6" s="5"/>
      <c r="F6" s="5"/>
      <c r="G6" s="5"/>
      <c r="H6" s="5"/>
      <c r="I6" s="12"/>
      <c r="J6" s="12"/>
      <c r="K6" s="13"/>
    </row>
    <row r="7" spans="2:11">
      <c r="B7" s="621" t="s">
        <v>206</v>
      </c>
      <c r="C7" s="622" t="s">
        <v>206</v>
      </c>
      <c r="D7" s="623"/>
      <c r="E7" s="5"/>
      <c r="F7" s="5"/>
      <c r="G7" s="5"/>
      <c r="H7" s="5"/>
      <c r="I7" s="5"/>
      <c r="J7" s="5"/>
      <c r="K7" s="5"/>
    </row>
    <row r="8" spans="2:11">
      <c r="B8" s="621"/>
      <c r="C8" s="624"/>
      <c r="D8" s="625"/>
      <c r="E8" s="84"/>
      <c r="F8" s="5"/>
      <c r="G8" s="5"/>
      <c r="H8" s="5"/>
      <c r="I8" s="5"/>
      <c r="J8" s="5"/>
      <c r="K8" s="5"/>
    </row>
    <row r="9" spans="2:11">
      <c r="B9" s="621"/>
      <c r="C9" s="6" t="s">
        <v>86</v>
      </c>
      <c r="D9" s="7" t="s">
        <v>87</v>
      </c>
      <c r="E9" s="7" t="s">
        <v>88</v>
      </c>
      <c r="F9" s="7" t="s">
        <v>89</v>
      </c>
      <c r="G9" s="7" t="s">
        <v>90</v>
      </c>
      <c r="H9" s="7" t="s">
        <v>91</v>
      </c>
      <c r="I9" s="7" t="s">
        <v>92</v>
      </c>
      <c r="J9" s="7" t="s">
        <v>93</v>
      </c>
      <c r="K9" s="8" t="s">
        <v>55</v>
      </c>
    </row>
    <row r="10" spans="2:11">
      <c r="B10" s="621"/>
      <c r="C10" s="6">
        <v>1</v>
      </c>
      <c r="D10" s="9">
        <v>0.3666666666666667</v>
      </c>
      <c r="E10" s="9">
        <f>D10</f>
        <v>0.3666666666666667</v>
      </c>
      <c r="F10" s="9">
        <f>E10</f>
        <v>0.3666666666666667</v>
      </c>
      <c r="G10" s="9">
        <f>F10</f>
        <v>0.3666666666666667</v>
      </c>
      <c r="H10" s="9">
        <f>G10</f>
        <v>0.3666666666666667</v>
      </c>
      <c r="I10" s="10"/>
      <c r="J10" s="10"/>
      <c r="K10" s="11">
        <f>HOUR(D10)+MINUTE(D10)/60+HOUR(E10)+MINUTE(E10)/60+HOUR(F10)+MINUTE(F10)/60+HOUR(G10)+MINUTE(G10)/60+HOUR(H10)+MINUTE(H10)/60</f>
        <v>44</v>
      </c>
    </row>
    <row r="11" spans="2:11">
      <c r="B11" s="621"/>
      <c r="C11" s="6">
        <v>2</v>
      </c>
      <c r="D11" s="9">
        <f>D10</f>
        <v>0.3666666666666667</v>
      </c>
      <c r="E11" s="9">
        <f t="shared" ref="E11:H14" si="0">E10</f>
        <v>0.3666666666666667</v>
      </c>
      <c r="F11" s="9">
        <f t="shared" si="0"/>
        <v>0.3666666666666667</v>
      </c>
      <c r="G11" s="9">
        <f t="shared" si="0"/>
        <v>0.3666666666666667</v>
      </c>
      <c r="H11" s="9">
        <f t="shared" si="0"/>
        <v>0.3666666666666667</v>
      </c>
      <c r="I11" s="10"/>
      <c r="J11" s="10"/>
      <c r="K11" s="11">
        <f>HOUR(D11)+MINUTE(D11)/60+HOUR(E11)+MINUTE(E11)/60+HOUR(F11)+MINUTE(F11)/60+HOUR(G11)+MINUTE(G11)/60+HOUR(H11)+MINUTE(H11)/60</f>
        <v>44</v>
      </c>
    </row>
    <row r="12" spans="2:11">
      <c r="B12" s="621"/>
      <c r="C12" s="6">
        <v>3</v>
      </c>
      <c r="D12" s="9">
        <f>D11</f>
        <v>0.3666666666666667</v>
      </c>
      <c r="E12" s="9">
        <f t="shared" si="0"/>
        <v>0.3666666666666667</v>
      </c>
      <c r="F12" s="9">
        <f t="shared" si="0"/>
        <v>0.3666666666666667</v>
      </c>
      <c r="G12" s="9">
        <f t="shared" si="0"/>
        <v>0.3666666666666667</v>
      </c>
      <c r="H12" s="9">
        <f t="shared" si="0"/>
        <v>0.3666666666666667</v>
      </c>
      <c r="I12" s="10"/>
      <c r="J12" s="10"/>
      <c r="K12" s="11">
        <f>HOUR(D12)+MINUTE(D12)/60+HOUR(E12)+MINUTE(E12)/60+HOUR(F12)+MINUTE(F12)/60+HOUR(G12)+MINUTE(G12)/60+HOUR(H12)+MINUTE(H12)/60</f>
        <v>44</v>
      </c>
    </row>
    <row r="13" spans="2:11">
      <c r="B13" s="621"/>
      <c r="C13" s="6">
        <v>4</v>
      </c>
      <c r="D13" s="9">
        <f>D12</f>
        <v>0.3666666666666667</v>
      </c>
      <c r="E13" s="9">
        <f t="shared" si="0"/>
        <v>0.3666666666666667</v>
      </c>
      <c r="F13" s="9">
        <f t="shared" si="0"/>
        <v>0.3666666666666667</v>
      </c>
      <c r="G13" s="9">
        <f t="shared" si="0"/>
        <v>0.3666666666666667</v>
      </c>
      <c r="H13" s="9">
        <f t="shared" si="0"/>
        <v>0.3666666666666667</v>
      </c>
      <c r="I13" s="10"/>
      <c r="J13" s="10"/>
      <c r="K13" s="11">
        <f>HOUR(D13)+MINUTE(D13)/60+HOUR(E13)+MINUTE(E13)/60+HOUR(F13)+MINUTE(F13)/60+HOUR(G13)+MINUTE(G13)/60+HOUR(H13)+MINUTE(H13)/60</f>
        <v>44</v>
      </c>
    </row>
    <row r="14" spans="2:11">
      <c r="B14" s="621"/>
      <c r="C14" s="6">
        <v>5</v>
      </c>
      <c r="D14" s="9">
        <f>D13</f>
        <v>0.3666666666666667</v>
      </c>
      <c r="E14" s="9">
        <f t="shared" si="0"/>
        <v>0.3666666666666667</v>
      </c>
      <c r="F14" s="10"/>
      <c r="G14" s="10"/>
      <c r="H14" s="10"/>
      <c r="I14" s="10"/>
      <c r="J14" s="10"/>
      <c r="K14" s="11">
        <f>HOUR(D14)+MINUTE(D14)/60+HOUR(E14)+MINUTE(E14)/60+HOUR(F14)+MINUTE(F14)/60+HOUR(G14)+MINUTE(G14)/60+HOUR(H14)+MINUTE(H14)/60</f>
        <v>17.600000000000001</v>
      </c>
    </row>
    <row r="15" spans="2:11">
      <c r="B15" s="621"/>
      <c r="C15" s="6" t="s">
        <v>94</v>
      </c>
      <c r="D15" s="8">
        <f>COUNTIF(D10:J14,"&gt;0")</f>
        <v>22</v>
      </c>
      <c r="E15" s="5"/>
      <c r="F15" s="5"/>
      <c r="G15" s="5"/>
      <c r="H15" s="5"/>
      <c r="I15" s="5"/>
      <c r="J15" s="8" t="s">
        <v>55</v>
      </c>
      <c r="K15" s="11">
        <f>SUM(K10:K14)</f>
        <v>193.6</v>
      </c>
    </row>
    <row r="16" spans="2:11">
      <c r="B16" s="13"/>
      <c r="C16" s="13"/>
      <c r="D16" s="13"/>
      <c r="E16" s="13"/>
      <c r="F16" s="13"/>
      <c r="G16" s="13"/>
      <c r="H16" s="13"/>
      <c r="I16" s="13"/>
      <c r="J16" s="13"/>
      <c r="K16" s="13"/>
    </row>
    <row r="20" spans="3:10">
      <c r="C20" s="627" t="s">
        <v>207</v>
      </c>
      <c r="D20" s="627"/>
      <c r="E20" s="627"/>
      <c r="F20" s="627"/>
      <c r="G20" s="627"/>
      <c r="H20" s="627"/>
      <c r="I20" s="627"/>
      <c r="J20" s="627"/>
    </row>
    <row r="21" spans="3:10" ht="38.25">
      <c r="C21" s="430" t="s">
        <v>95</v>
      </c>
      <c r="D21" s="430" t="s">
        <v>208</v>
      </c>
      <c r="E21" s="430" t="s">
        <v>96</v>
      </c>
      <c r="F21" s="430" t="s">
        <v>100</v>
      </c>
      <c r="G21" s="430" t="s">
        <v>101</v>
      </c>
      <c r="H21" s="430" t="s">
        <v>97</v>
      </c>
      <c r="I21" s="430" t="s">
        <v>98</v>
      </c>
      <c r="J21" s="430" t="s">
        <v>99</v>
      </c>
    </row>
    <row r="22" spans="3:10">
      <c r="C22" s="431" t="s">
        <v>206</v>
      </c>
      <c r="D22" s="431">
        <f>D15</f>
        <v>22</v>
      </c>
      <c r="E22" s="432">
        <v>10.85</v>
      </c>
      <c r="F22" s="433">
        <v>5.5</v>
      </c>
      <c r="G22" s="433">
        <v>5.5</v>
      </c>
      <c r="H22" s="432">
        <v>10.85</v>
      </c>
      <c r="I22" s="433">
        <f>SUM(E22:H22)</f>
        <v>32.700000000000003</v>
      </c>
      <c r="J22" s="433">
        <f>ROUND(I22*D22,2)</f>
        <v>719.4</v>
      </c>
    </row>
    <row r="23" spans="3:10">
      <c r="C23" s="431" t="s">
        <v>1169</v>
      </c>
      <c r="D23" s="431">
        <f>D15</f>
        <v>22</v>
      </c>
      <c r="E23" s="432">
        <v>10.85</v>
      </c>
      <c r="F23" s="433">
        <v>5.5</v>
      </c>
      <c r="G23" s="433">
        <v>5.5</v>
      </c>
      <c r="H23" s="432">
        <v>10.85</v>
      </c>
      <c r="I23" s="433">
        <f>SUM(E23:H23)</f>
        <v>32.700000000000003</v>
      </c>
      <c r="J23" s="433">
        <f>ROUND(I23*D23,2)</f>
        <v>719.4</v>
      </c>
    </row>
    <row r="24" spans="3:10">
      <c r="C24" s="626" t="s">
        <v>209</v>
      </c>
      <c r="D24" s="626"/>
      <c r="E24" s="626"/>
      <c r="F24" s="626"/>
      <c r="G24" s="626"/>
      <c r="H24" s="626"/>
      <c r="I24" s="626"/>
      <c r="J24" s="626"/>
    </row>
    <row r="25" spans="3:10">
      <c r="C25" s="628" t="s">
        <v>202</v>
      </c>
      <c r="D25" s="629"/>
      <c r="E25" s="628" t="s">
        <v>201</v>
      </c>
      <c r="F25" s="630"/>
      <c r="G25" s="630"/>
      <c r="H25" s="630"/>
      <c r="I25" s="630"/>
      <c r="J25" s="629"/>
    </row>
    <row r="26" spans="3:10">
      <c r="C26" s="631">
        <v>10.85</v>
      </c>
      <c r="D26" s="632"/>
      <c r="E26" s="633" t="s">
        <v>210</v>
      </c>
      <c r="F26" s="634"/>
      <c r="G26" s="634"/>
      <c r="H26" s="634"/>
      <c r="I26" s="634"/>
      <c r="J26" s="635"/>
    </row>
    <row r="27" spans="3:10" ht="15.75">
      <c r="C27" s="631">
        <v>5.5</v>
      </c>
      <c r="D27" s="632"/>
      <c r="E27" s="636" t="s">
        <v>177</v>
      </c>
      <c r="F27" s="637"/>
      <c r="G27" s="637"/>
      <c r="H27" s="637"/>
      <c r="I27" s="637"/>
      <c r="J27" s="638"/>
    </row>
    <row r="30" spans="3:10">
      <c r="C30" s="627" t="s">
        <v>1201</v>
      </c>
      <c r="D30" s="627"/>
      <c r="E30" s="627"/>
      <c r="F30" s="627"/>
      <c r="G30" s="627"/>
      <c r="H30" s="627"/>
      <c r="I30" s="627"/>
    </row>
    <row r="31" spans="3:10">
      <c r="C31" s="640" t="s">
        <v>102</v>
      </c>
      <c r="D31" s="640"/>
      <c r="E31" s="640"/>
      <c r="F31" s="640" t="s">
        <v>103</v>
      </c>
      <c r="G31" s="640"/>
      <c r="H31" s="640" t="s">
        <v>99</v>
      </c>
      <c r="I31" s="640"/>
    </row>
    <row r="32" spans="3:10">
      <c r="C32" s="641">
        <f>D22</f>
        <v>22</v>
      </c>
      <c r="D32" s="641"/>
      <c r="E32" s="641"/>
      <c r="F32" s="642">
        <v>28</v>
      </c>
      <c r="G32" s="642"/>
      <c r="H32" s="642">
        <f>F32*C32</f>
        <v>616</v>
      </c>
      <c r="I32" s="642"/>
    </row>
    <row r="33" spans="3:9" ht="29.25" customHeight="1">
      <c r="C33" s="639" t="s">
        <v>1200</v>
      </c>
      <c r="D33" s="639"/>
      <c r="E33" s="639"/>
      <c r="F33" s="639"/>
      <c r="G33" s="639"/>
      <c r="H33" s="639"/>
      <c r="I33" s="639"/>
    </row>
  </sheetData>
  <mergeCells count="19">
    <mergeCell ref="C33:I33"/>
    <mergeCell ref="C30:I30"/>
    <mergeCell ref="C31:E31"/>
    <mergeCell ref="F31:G31"/>
    <mergeCell ref="H31:I31"/>
    <mergeCell ref="C32:E32"/>
    <mergeCell ref="F32:G32"/>
    <mergeCell ref="H32:I32"/>
    <mergeCell ref="C25:D25"/>
    <mergeCell ref="E25:J25"/>
    <mergeCell ref="C26:D26"/>
    <mergeCell ref="E26:J26"/>
    <mergeCell ref="C27:D27"/>
    <mergeCell ref="E27:J27"/>
    <mergeCell ref="C2:F2"/>
    <mergeCell ref="B7:B15"/>
    <mergeCell ref="C7:D8"/>
    <mergeCell ref="C24:J24"/>
    <mergeCell ref="C20:J20"/>
  </mergeCells>
  <pageMargins left="0.511811024" right="0.511811024" top="0.78740157499999996" bottom="0.78740157499999996" header="0.31496062000000002" footer="0.31496062000000002"/>
  <pageSetup paperSize="9" scale="64" orientation="portrait" horizont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725E1-F20F-45E6-85D9-36A294EC30D3}">
  <sheetPr>
    <tabColor theme="9"/>
  </sheetPr>
  <dimension ref="A2:AH111"/>
  <sheetViews>
    <sheetView showGridLines="0" topLeftCell="A87" workbookViewId="0">
      <selection activeCell="C99" sqref="C99:X111"/>
    </sheetView>
  </sheetViews>
  <sheetFormatPr defaultColWidth="4.140625" defaultRowHeight="15.75"/>
  <cols>
    <col min="1" max="1" width="4.140625" style="19"/>
    <col min="2" max="2" width="6.7109375" style="18" customWidth="1"/>
    <col min="3" max="3" width="4.140625" style="18" customWidth="1"/>
    <col min="4" max="4" width="9.140625" style="78" customWidth="1"/>
    <col min="5" max="5" width="10.85546875" style="18" customWidth="1"/>
    <col min="6" max="6" width="4.140625" style="79" customWidth="1"/>
    <col min="7" max="7" width="24.140625" style="79" customWidth="1"/>
    <col min="8" max="8" width="4.140625" style="18" customWidth="1"/>
    <col min="9" max="9" width="7.7109375" style="18" customWidth="1"/>
    <col min="10" max="10" width="4.140625" style="79" customWidth="1"/>
    <col min="11" max="11" width="6.7109375" style="18" customWidth="1"/>
    <col min="12" max="12" width="5.28515625" style="18" customWidth="1"/>
    <col min="13" max="13" width="7.28515625" style="18" customWidth="1"/>
    <col min="14" max="14" width="3.7109375" style="18" customWidth="1"/>
    <col min="15" max="15" width="7.42578125" style="18" customWidth="1"/>
    <col min="16" max="16" width="4.140625" style="18" customWidth="1"/>
    <col min="17" max="17" width="8.140625" style="18" customWidth="1"/>
    <col min="18" max="18" width="0.7109375" style="18" customWidth="1"/>
    <col min="19" max="19" width="4.140625" style="18" customWidth="1"/>
    <col min="20" max="20" width="8.7109375" style="57" customWidth="1"/>
    <col min="21" max="21" width="4.140625" style="57" customWidth="1"/>
    <col min="22" max="22" width="4.140625" style="58" customWidth="1"/>
    <col min="23" max="24" width="4.140625" style="59" customWidth="1"/>
    <col min="25" max="25" width="14.85546875" style="53" customWidth="1"/>
    <col min="26" max="26" width="44" style="18" customWidth="1"/>
    <col min="27" max="258" width="4.140625" style="19"/>
    <col min="259" max="281" width="4.140625" style="19" customWidth="1"/>
    <col min="282" max="282" width="6.28515625" style="19" customWidth="1"/>
    <col min="283" max="514" width="4.140625" style="19"/>
    <col min="515" max="537" width="4.140625" style="19" customWidth="1"/>
    <col min="538" max="538" width="6.28515625" style="19" customWidth="1"/>
    <col min="539" max="770" width="4.140625" style="19"/>
    <col min="771" max="793" width="4.140625" style="19" customWidth="1"/>
    <col min="794" max="794" width="6.28515625" style="19" customWidth="1"/>
    <col min="795" max="1026" width="4.140625" style="19"/>
    <col min="1027" max="1049" width="4.140625" style="19" customWidth="1"/>
    <col min="1050" max="1050" width="6.28515625" style="19" customWidth="1"/>
    <col min="1051" max="1282" width="4.140625" style="19"/>
    <col min="1283" max="1305" width="4.140625" style="19" customWidth="1"/>
    <col min="1306" max="1306" width="6.28515625" style="19" customWidth="1"/>
    <col min="1307" max="1538" width="4.140625" style="19"/>
    <col min="1539" max="1561" width="4.140625" style="19" customWidth="1"/>
    <col min="1562" max="1562" width="6.28515625" style="19" customWidth="1"/>
    <col min="1563" max="1794" width="4.140625" style="19"/>
    <col min="1795" max="1817" width="4.140625" style="19" customWidth="1"/>
    <col min="1818" max="1818" width="6.28515625" style="19" customWidth="1"/>
    <col min="1819" max="2050" width="4.140625" style="19"/>
    <col min="2051" max="2073" width="4.140625" style="19" customWidth="1"/>
    <col min="2074" max="2074" width="6.28515625" style="19" customWidth="1"/>
    <col min="2075" max="2306" width="4.140625" style="19"/>
    <col min="2307" max="2329" width="4.140625" style="19" customWidth="1"/>
    <col min="2330" max="2330" width="6.28515625" style="19" customWidth="1"/>
    <col min="2331" max="2562" width="4.140625" style="19"/>
    <col min="2563" max="2585" width="4.140625" style="19" customWidth="1"/>
    <col min="2586" max="2586" width="6.28515625" style="19" customWidth="1"/>
    <col min="2587" max="2818" width="4.140625" style="19"/>
    <col min="2819" max="2841" width="4.140625" style="19" customWidth="1"/>
    <col min="2842" max="2842" width="6.28515625" style="19" customWidth="1"/>
    <col min="2843" max="3074" width="4.140625" style="19"/>
    <col min="3075" max="3097" width="4.140625" style="19" customWidth="1"/>
    <col min="3098" max="3098" width="6.28515625" style="19" customWidth="1"/>
    <col min="3099" max="3330" width="4.140625" style="19"/>
    <col min="3331" max="3353" width="4.140625" style="19" customWidth="1"/>
    <col min="3354" max="3354" width="6.28515625" style="19" customWidth="1"/>
    <col min="3355" max="3586" width="4.140625" style="19"/>
    <col min="3587" max="3609" width="4.140625" style="19" customWidth="1"/>
    <col min="3610" max="3610" width="6.28515625" style="19" customWidth="1"/>
    <col min="3611" max="3842" width="4.140625" style="19"/>
    <col min="3843" max="3865" width="4.140625" style="19" customWidth="1"/>
    <col min="3866" max="3866" width="6.28515625" style="19" customWidth="1"/>
    <col min="3867" max="4098" width="4.140625" style="19"/>
    <col min="4099" max="4121" width="4.140625" style="19" customWidth="1"/>
    <col min="4122" max="4122" width="6.28515625" style="19" customWidth="1"/>
    <col min="4123" max="4354" width="4.140625" style="19"/>
    <col min="4355" max="4377" width="4.140625" style="19" customWidth="1"/>
    <col min="4378" max="4378" width="6.28515625" style="19" customWidth="1"/>
    <col min="4379" max="4610" width="4.140625" style="19"/>
    <col min="4611" max="4633" width="4.140625" style="19" customWidth="1"/>
    <col min="4634" max="4634" width="6.28515625" style="19" customWidth="1"/>
    <col min="4635" max="4866" width="4.140625" style="19"/>
    <col min="4867" max="4889" width="4.140625" style="19" customWidth="1"/>
    <col min="4890" max="4890" width="6.28515625" style="19" customWidth="1"/>
    <col min="4891" max="5122" width="4.140625" style="19"/>
    <col min="5123" max="5145" width="4.140625" style="19" customWidth="1"/>
    <col min="5146" max="5146" width="6.28515625" style="19" customWidth="1"/>
    <col min="5147" max="5378" width="4.140625" style="19"/>
    <col min="5379" max="5401" width="4.140625" style="19" customWidth="1"/>
    <col min="5402" max="5402" width="6.28515625" style="19" customWidth="1"/>
    <col min="5403" max="5634" width="4.140625" style="19"/>
    <col min="5635" max="5657" width="4.140625" style="19" customWidth="1"/>
    <col min="5658" max="5658" width="6.28515625" style="19" customWidth="1"/>
    <col min="5659" max="5890" width="4.140625" style="19"/>
    <col min="5891" max="5913" width="4.140625" style="19" customWidth="1"/>
    <col min="5914" max="5914" width="6.28515625" style="19" customWidth="1"/>
    <col min="5915" max="6146" width="4.140625" style="19"/>
    <col min="6147" max="6169" width="4.140625" style="19" customWidth="1"/>
    <col min="6170" max="6170" width="6.28515625" style="19" customWidth="1"/>
    <col min="6171" max="6402" width="4.140625" style="19"/>
    <col min="6403" max="6425" width="4.140625" style="19" customWidth="1"/>
    <col min="6426" max="6426" width="6.28515625" style="19" customWidth="1"/>
    <col min="6427" max="6658" width="4.140625" style="19"/>
    <col min="6659" max="6681" width="4.140625" style="19" customWidth="1"/>
    <col min="6682" max="6682" width="6.28515625" style="19" customWidth="1"/>
    <col min="6683" max="6914" width="4.140625" style="19"/>
    <col min="6915" max="6937" width="4.140625" style="19" customWidth="1"/>
    <col min="6938" max="6938" width="6.28515625" style="19" customWidth="1"/>
    <col min="6939" max="7170" width="4.140625" style="19"/>
    <col min="7171" max="7193" width="4.140625" style="19" customWidth="1"/>
    <col min="7194" max="7194" width="6.28515625" style="19" customWidth="1"/>
    <col min="7195" max="7426" width="4.140625" style="19"/>
    <col min="7427" max="7449" width="4.140625" style="19" customWidth="1"/>
    <col min="7450" max="7450" width="6.28515625" style="19" customWidth="1"/>
    <col min="7451" max="7682" width="4.140625" style="19"/>
    <col min="7683" max="7705" width="4.140625" style="19" customWidth="1"/>
    <col min="7706" max="7706" width="6.28515625" style="19" customWidth="1"/>
    <col min="7707" max="7938" width="4.140625" style="19"/>
    <col min="7939" max="7961" width="4.140625" style="19" customWidth="1"/>
    <col min="7962" max="7962" width="6.28515625" style="19" customWidth="1"/>
    <col min="7963" max="8194" width="4.140625" style="19"/>
    <col min="8195" max="8217" width="4.140625" style="19" customWidth="1"/>
    <col min="8218" max="8218" width="6.28515625" style="19" customWidth="1"/>
    <col min="8219" max="8450" width="4.140625" style="19"/>
    <col min="8451" max="8473" width="4.140625" style="19" customWidth="1"/>
    <col min="8474" max="8474" width="6.28515625" style="19" customWidth="1"/>
    <col min="8475" max="8706" width="4.140625" style="19"/>
    <col min="8707" max="8729" width="4.140625" style="19" customWidth="1"/>
    <col min="8730" max="8730" width="6.28515625" style="19" customWidth="1"/>
    <col min="8731" max="8962" width="4.140625" style="19"/>
    <col min="8963" max="8985" width="4.140625" style="19" customWidth="1"/>
    <col min="8986" max="8986" width="6.28515625" style="19" customWidth="1"/>
    <col min="8987" max="9218" width="4.140625" style="19"/>
    <col min="9219" max="9241" width="4.140625" style="19" customWidth="1"/>
    <col min="9242" max="9242" width="6.28515625" style="19" customWidth="1"/>
    <col min="9243" max="9474" width="4.140625" style="19"/>
    <col min="9475" max="9497" width="4.140625" style="19" customWidth="1"/>
    <col min="9498" max="9498" width="6.28515625" style="19" customWidth="1"/>
    <col min="9499" max="9730" width="4.140625" style="19"/>
    <col min="9731" max="9753" width="4.140625" style="19" customWidth="1"/>
    <col min="9754" max="9754" width="6.28515625" style="19" customWidth="1"/>
    <col min="9755" max="9986" width="4.140625" style="19"/>
    <col min="9987" max="10009" width="4.140625" style="19" customWidth="1"/>
    <col min="10010" max="10010" width="6.28515625" style="19" customWidth="1"/>
    <col min="10011" max="10242" width="4.140625" style="19"/>
    <col min="10243" max="10265" width="4.140625" style="19" customWidth="1"/>
    <col min="10266" max="10266" width="6.28515625" style="19" customWidth="1"/>
    <col min="10267" max="10498" width="4.140625" style="19"/>
    <col min="10499" max="10521" width="4.140625" style="19" customWidth="1"/>
    <col min="10522" max="10522" width="6.28515625" style="19" customWidth="1"/>
    <col min="10523" max="10754" width="4.140625" style="19"/>
    <col min="10755" max="10777" width="4.140625" style="19" customWidth="1"/>
    <col min="10778" max="10778" width="6.28515625" style="19" customWidth="1"/>
    <col min="10779" max="11010" width="4.140625" style="19"/>
    <col min="11011" max="11033" width="4.140625" style="19" customWidth="1"/>
    <col min="11034" max="11034" width="6.28515625" style="19" customWidth="1"/>
    <col min="11035" max="11266" width="4.140625" style="19"/>
    <col min="11267" max="11289" width="4.140625" style="19" customWidth="1"/>
    <col min="11290" max="11290" width="6.28515625" style="19" customWidth="1"/>
    <col min="11291" max="11522" width="4.140625" style="19"/>
    <col min="11523" max="11545" width="4.140625" style="19" customWidth="1"/>
    <col min="11546" max="11546" width="6.28515625" style="19" customWidth="1"/>
    <col min="11547" max="11778" width="4.140625" style="19"/>
    <col min="11779" max="11801" width="4.140625" style="19" customWidth="1"/>
    <col min="11802" max="11802" width="6.28515625" style="19" customWidth="1"/>
    <col min="11803" max="12034" width="4.140625" style="19"/>
    <col min="12035" max="12057" width="4.140625" style="19" customWidth="1"/>
    <col min="12058" max="12058" width="6.28515625" style="19" customWidth="1"/>
    <col min="12059" max="12290" width="4.140625" style="19"/>
    <col min="12291" max="12313" width="4.140625" style="19" customWidth="1"/>
    <col min="12314" max="12314" width="6.28515625" style="19" customWidth="1"/>
    <col min="12315" max="12546" width="4.140625" style="19"/>
    <col min="12547" max="12569" width="4.140625" style="19" customWidth="1"/>
    <col min="12570" max="12570" width="6.28515625" style="19" customWidth="1"/>
    <col min="12571" max="12802" width="4.140625" style="19"/>
    <col min="12803" max="12825" width="4.140625" style="19" customWidth="1"/>
    <col min="12826" max="12826" width="6.28515625" style="19" customWidth="1"/>
    <col min="12827" max="13058" width="4.140625" style="19"/>
    <col min="13059" max="13081" width="4.140625" style="19" customWidth="1"/>
    <col min="13082" max="13082" width="6.28515625" style="19" customWidth="1"/>
    <col min="13083" max="13314" width="4.140625" style="19"/>
    <col min="13315" max="13337" width="4.140625" style="19" customWidth="1"/>
    <col min="13338" max="13338" width="6.28515625" style="19" customWidth="1"/>
    <col min="13339" max="13570" width="4.140625" style="19"/>
    <col min="13571" max="13593" width="4.140625" style="19" customWidth="1"/>
    <col min="13594" max="13594" width="6.28515625" style="19" customWidth="1"/>
    <col min="13595" max="13826" width="4.140625" style="19"/>
    <col min="13827" max="13849" width="4.140625" style="19" customWidth="1"/>
    <col min="13850" max="13850" width="6.28515625" style="19" customWidth="1"/>
    <col min="13851" max="14082" width="4.140625" style="19"/>
    <col min="14083" max="14105" width="4.140625" style="19" customWidth="1"/>
    <col min="14106" max="14106" width="6.28515625" style="19" customWidth="1"/>
    <col min="14107" max="14338" width="4.140625" style="19"/>
    <col min="14339" max="14361" width="4.140625" style="19" customWidth="1"/>
    <col min="14362" max="14362" width="6.28515625" style="19" customWidth="1"/>
    <col min="14363" max="14594" width="4.140625" style="19"/>
    <col min="14595" max="14617" width="4.140625" style="19" customWidth="1"/>
    <col min="14618" max="14618" width="6.28515625" style="19" customWidth="1"/>
    <col min="14619" max="14850" width="4.140625" style="19"/>
    <col min="14851" max="14873" width="4.140625" style="19" customWidth="1"/>
    <col min="14874" max="14874" width="6.28515625" style="19" customWidth="1"/>
    <col min="14875" max="15106" width="4.140625" style="19"/>
    <col min="15107" max="15129" width="4.140625" style="19" customWidth="1"/>
    <col min="15130" max="15130" width="6.28515625" style="19" customWidth="1"/>
    <col min="15131" max="15362" width="4.140625" style="19"/>
    <col min="15363" max="15385" width="4.140625" style="19" customWidth="1"/>
    <col min="15386" max="15386" width="6.28515625" style="19" customWidth="1"/>
    <col min="15387" max="15618" width="4.140625" style="19"/>
    <col min="15619" max="15641" width="4.140625" style="19" customWidth="1"/>
    <col min="15642" max="15642" width="6.28515625" style="19" customWidth="1"/>
    <col min="15643" max="15874" width="4.140625" style="19"/>
    <col min="15875" max="15897" width="4.140625" style="19" customWidth="1"/>
    <col min="15898" max="15898" width="6.28515625" style="19" customWidth="1"/>
    <col min="15899" max="16130" width="4.140625" style="19"/>
    <col min="16131" max="16153" width="4.140625" style="19" customWidth="1"/>
    <col min="16154" max="16154" width="6.28515625" style="19" customWidth="1"/>
    <col min="16155" max="16384" width="4.140625" style="19"/>
  </cols>
  <sheetData>
    <row r="2" spans="2:34" ht="19.5" customHeight="1">
      <c r="C2" s="854" t="s">
        <v>150</v>
      </c>
      <c r="D2" s="855"/>
      <c r="E2" s="855"/>
      <c r="F2" s="855"/>
      <c r="G2" s="855"/>
      <c r="H2" s="856"/>
      <c r="I2" s="856"/>
      <c r="J2" s="856"/>
      <c r="K2" s="856"/>
      <c r="L2" s="856"/>
      <c r="M2" s="856"/>
      <c r="N2" s="856"/>
      <c r="O2" s="856"/>
      <c r="P2" s="856"/>
      <c r="Q2" s="856"/>
      <c r="R2" s="856"/>
      <c r="S2" s="856"/>
      <c r="T2" s="856"/>
      <c r="U2" s="856"/>
      <c r="V2" s="856"/>
      <c r="W2" s="856"/>
      <c r="X2" s="857"/>
    </row>
    <row r="3" spans="2:34" ht="20.25" customHeight="1">
      <c r="C3" s="858" t="s">
        <v>151</v>
      </c>
      <c r="D3" s="858"/>
      <c r="E3" s="858"/>
      <c r="F3" s="859"/>
      <c r="G3" s="859"/>
      <c r="H3" s="859"/>
      <c r="I3" s="859"/>
      <c r="J3" s="859"/>
      <c r="K3" s="859"/>
      <c r="L3" s="859"/>
      <c r="M3" s="859"/>
      <c r="N3" s="859"/>
      <c r="O3" s="859"/>
      <c r="P3" s="859"/>
      <c r="Q3" s="859"/>
      <c r="R3" s="859"/>
      <c r="S3" s="859"/>
      <c r="T3" s="859"/>
      <c r="U3" s="859"/>
      <c r="V3" s="860" t="s">
        <v>152</v>
      </c>
      <c r="W3" s="861"/>
      <c r="X3" s="861"/>
      <c r="Y3" s="60"/>
    </row>
    <row r="4" spans="2:34">
      <c r="B4" s="458" t="s">
        <v>6</v>
      </c>
      <c r="C4" s="852" t="s">
        <v>178</v>
      </c>
      <c r="D4" s="852"/>
      <c r="E4" s="852"/>
      <c r="F4" s="853"/>
      <c r="G4" s="853"/>
      <c r="H4" s="853"/>
      <c r="I4" s="853"/>
      <c r="J4" s="853"/>
      <c r="K4" s="853"/>
      <c r="L4" s="853"/>
      <c r="M4" s="853"/>
      <c r="N4" s="853"/>
      <c r="O4" s="853"/>
      <c r="P4" s="853"/>
      <c r="Q4" s="853"/>
      <c r="R4" s="853"/>
      <c r="S4" s="853"/>
      <c r="T4" s="853"/>
      <c r="U4" s="853"/>
      <c r="V4" s="837">
        <v>0.2</v>
      </c>
      <c r="W4" s="733"/>
      <c r="X4" s="733"/>
      <c r="Y4" s="60"/>
    </row>
    <row r="5" spans="2:34">
      <c r="B5" s="458" t="s">
        <v>7</v>
      </c>
      <c r="C5" s="852" t="s">
        <v>1124</v>
      </c>
      <c r="D5" s="852"/>
      <c r="E5" s="852"/>
      <c r="F5" s="853"/>
      <c r="G5" s="853"/>
      <c r="H5" s="853"/>
      <c r="I5" s="853"/>
      <c r="J5" s="853"/>
      <c r="K5" s="853"/>
      <c r="L5" s="853"/>
      <c r="M5" s="853"/>
      <c r="N5" s="853"/>
      <c r="O5" s="853"/>
      <c r="P5" s="853"/>
      <c r="Q5" s="853"/>
      <c r="R5" s="853"/>
      <c r="S5" s="853"/>
      <c r="T5" s="853"/>
      <c r="U5" s="853"/>
      <c r="V5" s="828">
        <v>1.4999999999999999E-2</v>
      </c>
      <c r="W5" s="829"/>
      <c r="X5" s="829"/>
      <c r="Y5" s="61"/>
    </row>
    <row r="6" spans="2:34">
      <c r="B6" s="458" t="s">
        <v>8</v>
      </c>
      <c r="C6" s="852" t="s">
        <v>1125</v>
      </c>
      <c r="D6" s="852"/>
      <c r="E6" s="852"/>
      <c r="F6" s="853"/>
      <c r="G6" s="853"/>
      <c r="H6" s="853"/>
      <c r="I6" s="853"/>
      <c r="J6" s="853"/>
      <c r="K6" s="853"/>
      <c r="L6" s="853"/>
      <c r="M6" s="853"/>
      <c r="N6" s="853"/>
      <c r="O6" s="853"/>
      <c r="P6" s="853"/>
      <c r="Q6" s="853"/>
      <c r="R6" s="853"/>
      <c r="S6" s="853"/>
      <c r="T6" s="853"/>
      <c r="U6" s="853"/>
      <c r="V6" s="828">
        <v>0.01</v>
      </c>
      <c r="W6" s="829"/>
      <c r="X6" s="829"/>
      <c r="Y6" s="61"/>
    </row>
    <row r="7" spans="2:34">
      <c r="B7" s="458" t="s">
        <v>9</v>
      </c>
      <c r="C7" s="852" t="s">
        <v>179</v>
      </c>
      <c r="D7" s="852"/>
      <c r="E7" s="852"/>
      <c r="F7" s="853"/>
      <c r="G7" s="853"/>
      <c r="H7" s="853"/>
      <c r="I7" s="853"/>
      <c r="J7" s="853"/>
      <c r="K7" s="853"/>
      <c r="L7" s="853"/>
      <c r="M7" s="853"/>
      <c r="N7" s="853"/>
      <c r="O7" s="853"/>
      <c r="P7" s="853"/>
      <c r="Q7" s="853"/>
      <c r="R7" s="853"/>
      <c r="S7" s="853"/>
      <c r="T7" s="853"/>
      <c r="U7" s="853"/>
      <c r="V7" s="828">
        <v>2E-3</v>
      </c>
      <c r="W7" s="829"/>
      <c r="X7" s="829"/>
      <c r="Y7" s="62"/>
    </row>
    <row r="8" spans="2:34">
      <c r="B8" s="458" t="s">
        <v>10</v>
      </c>
      <c r="C8" s="852" t="s">
        <v>180</v>
      </c>
      <c r="D8" s="852"/>
      <c r="E8" s="852"/>
      <c r="F8" s="853"/>
      <c r="G8" s="853"/>
      <c r="H8" s="853"/>
      <c r="I8" s="853"/>
      <c r="J8" s="853"/>
      <c r="K8" s="853"/>
      <c r="L8" s="853"/>
      <c r="M8" s="853"/>
      <c r="N8" s="853"/>
      <c r="O8" s="853"/>
      <c r="P8" s="853"/>
      <c r="Q8" s="853"/>
      <c r="R8" s="853"/>
      <c r="S8" s="853"/>
      <c r="T8" s="853"/>
      <c r="U8" s="853"/>
      <c r="V8" s="828">
        <v>2.5000000000000001E-2</v>
      </c>
      <c r="W8" s="829"/>
      <c r="X8" s="829"/>
      <c r="Y8" s="62"/>
    </row>
    <row r="9" spans="2:34">
      <c r="B9" s="459" t="s">
        <v>11</v>
      </c>
      <c r="C9" s="836" t="s">
        <v>181</v>
      </c>
      <c r="D9" s="836"/>
      <c r="E9" s="836"/>
      <c r="F9" s="731"/>
      <c r="G9" s="731"/>
      <c r="H9" s="731"/>
      <c r="I9" s="731"/>
      <c r="J9" s="731"/>
      <c r="K9" s="731"/>
      <c r="L9" s="731"/>
      <c r="M9" s="731"/>
      <c r="N9" s="731"/>
      <c r="O9" s="731"/>
      <c r="P9" s="731"/>
      <c r="Q9" s="731"/>
      <c r="R9" s="731"/>
      <c r="S9" s="731"/>
      <c r="T9" s="731"/>
      <c r="U9" s="731"/>
      <c r="V9" s="837">
        <v>0.08</v>
      </c>
      <c r="W9" s="733"/>
      <c r="X9" s="733"/>
      <c r="Y9" s="62"/>
    </row>
    <row r="10" spans="2:34" ht="21.75" customHeight="1">
      <c r="B10" s="817" t="s">
        <v>12</v>
      </c>
      <c r="C10" s="838" t="s">
        <v>1126</v>
      </c>
      <c r="D10" s="839"/>
      <c r="E10" s="839"/>
      <c r="F10" s="820"/>
      <c r="G10" s="820"/>
      <c r="H10" s="820"/>
      <c r="I10" s="820"/>
      <c r="J10" s="820"/>
      <c r="K10" s="820"/>
      <c r="L10" s="820"/>
      <c r="M10" s="820"/>
      <c r="N10" s="820"/>
      <c r="O10" s="820"/>
      <c r="P10" s="820"/>
      <c r="Q10" s="820"/>
      <c r="R10" s="820"/>
      <c r="S10" s="820"/>
      <c r="T10" s="820"/>
      <c r="U10" s="840"/>
      <c r="V10" s="841">
        <f>F11*N11</f>
        <v>0.01</v>
      </c>
      <c r="W10" s="842"/>
      <c r="X10" s="843"/>
      <c r="Y10" s="461"/>
      <c r="Z10" s="462"/>
      <c r="AA10" s="462"/>
      <c r="AB10" s="462"/>
      <c r="AC10" s="462"/>
      <c r="AD10" s="462"/>
      <c r="AE10" s="462"/>
      <c r="AF10" s="462"/>
      <c r="AG10" s="462"/>
      <c r="AH10" s="462"/>
    </row>
    <row r="11" spans="2:34">
      <c r="B11" s="819"/>
      <c r="C11" s="20"/>
      <c r="D11" s="845" t="s">
        <v>1127</v>
      </c>
      <c r="E11" s="845"/>
      <c r="F11" s="846">
        <v>0.01</v>
      </c>
      <c r="G11" s="847"/>
      <c r="H11" s="848"/>
      <c r="I11" s="21"/>
      <c r="J11" s="21"/>
      <c r="K11" s="748" t="s">
        <v>153</v>
      </c>
      <c r="L11" s="748"/>
      <c r="M11" s="748"/>
      <c r="N11" s="849">
        <v>1</v>
      </c>
      <c r="O11" s="850"/>
      <c r="P11" s="851"/>
      <c r="Q11" s="21"/>
      <c r="R11" s="21"/>
      <c r="S11" s="21"/>
      <c r="T11" s="22"/>
      <c r="U11" s="23"/>
      <c r="V11" s="844"/>
      <c r="W11" s="842"/>
      <c r="X11" s="843"/>
      <c r="Y11" s="62"/>
    </row>
    <row r="12" spans="2:34" ht="18.75" customHeight="1">
      <c r="B12" s="458" t="s">
        <v>13</v>
      </c>
      <c r="C12" s="826" t="s">
        <v>182</v>
      </c>
      <c r="D12" s="826"/>
      <c r="E12" s="826"/>
      <c r="F12" s="827"/>
      <c r="G12" s="827"/>
      <c r="H12" s="827"/>
      <c r="I12" s="827"/>
      <c r="J12" s="827"/>
      <c r="K12" s="827"/>
      <c r="L12" s="827"/>
      <c r="M12" s="827"/>
      <c r="N12" s="827"/>
      <c r="O12" s="827"/>
      <c r="P12" s="827"/>
      <c r="Q12" s="827"/>
      <c r="R12" s="827"/>
      <c r="S12" s="827"/>
      <c r="T12" s="827"/>
      <c r="U12" s="827"/>
      <c r="V12" s="828">
        <v>6.0000000000000001E-3</v>
      </c>
      <c r="W12" s="829"/>
      <c r="X12" s="829"/>
      <c r="Y12" s="62"/>
      <c r="Z12" s="63"/>
    </row>
    <row r="13" spans="2:34" ht="19.5" customHeight="1">
      <c r="C13" s="830" t="s">
        <v>154</v>
      </c>
      <c r="D13" s="831"/>
      <c r="E13" s="831"/>
      <c r="F13" s="832"/>
      <c r="G13" s="832"/>
      <c r="H13" s="832"/>
      <c r="I13" s="832"/>
      <c r="J13" s="832"/>
      <c r="K13" s="832"/>
      <c r="L13" s="832"/>
      <c r="M13" s="832"/>
      <c r="N13" s="832"/>
      <c r="O13" s="832"/>
      <c r="P13" s="832"/>
      <c r="Q13" s="832"/>
      <c r="R13" s="832"/>
      <c r="S13" s="832"/>
      <c r="T13" s="832"/>
      <c r="U13" s="833"/>
      <c r="V13" s="834">
        <f>SUM(V4:V12)</f>
        <v>0.34800000000000009</v>
      </c>
      <c r="W13" s="808"/>
      <c r="X13" s="808"/>
      <c r="Y13" s="64"/>
    </row>
    <row r="14" spans="2:34">
      <c r="C14" s="835"/>
      <c r="D14" s="735"/>
      <c r="E14" s="735"/>
      <c r="F14" s="735"/>
      <c r="G14" s="735"/>
      <c r="H14" s="735"/>
      <c r="I14" s="735"/>
      <c r="J14" s="735"/>
      <c r="K14" s="735"/>
      <c r="L14" s="735"/>
      <c r="M14" s="735"/>
      <c r="N14" s="735"/>
      <c r="O14" s="735"/>
      <c r="P14" s="735"/>
      <c r="Q14" s="735"/>
      <c r="R14" s="735"/>
      <c r="S14" s="735"/>
      <c r="T14" s="735"/>
      <c r="U14" s="735"/>
      <c r="V14" s="735"/>
      <c r="W14" s="735"/>
      <c r="X14" s="735"/>
      <c r="Y14" s="65"/>
    </row>
    <row r="15" spans="2:34" ht="19.5" customHeight="1">
      <c r="C15" s="809" t="s">
        <v>155</v>
      </c>
      <c r="D15" s="810"/>
      <c r="E15" s="810"/>
      <c r="F15" s="810"/>
      <c r="G15" s="810"/>
      <c r="H15" s="810"/>
      <c r="I15" s="810"/>
      <c r="J15" s="810"/>
      <c r="K15" s="810"/>
      <c r="L15" s="810"/>
      <c r="M15" s="810"/>
      <c r="N15" s="810"/>
      <c r="O15" s="810"/>
      <c r="P15" s="810"/>
      <c r="Q15" s="810"/>
      <c r="R15" s="810"/>
      <c r="S15" s="810"/>
      <c r="T15" s="810"/>
      <c r="U15" s="810"/>
      <c r="V15" s="810"/>
      <c r="W15" s="810"/>
      <c r="X15" s="811"/>
    </row>
    <row r="16" spans="2:34">
      <c r="B16" s="817" t="s">
        <v>6</v>
      </c>
      <c r="C16" s="685" t="s">
        <v>76</v>
      </c>
      <c r="D16" s="820"/>
      <c r="E16" s="820"/>
      <c r="F16" s="820"/>
      <c r="G16" s="820"/>
      <c r="H16" s="710" t="s">
        <v>156</v>
      </c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20"/>
      <c r="V16" s="723">
        <f>H18/P18</f>
        <v>8.3333333333333329E-2</v>
      </c>
      <c r="W16" s="723"/>
      <c r="X16" s="724"/>
    </row>
    <row r="17" spans="2:26">
      <c r="B17" s="818"/>
      <c r="C17" s="688"/>
      <c r="D17" s="746"/>
      <c r="E17" s="746"/>
      <c r="F17" s="746"/>
      <c r="G17" s="746"/>
      <c r="H17" s="24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6"/>
      <c r="V17" s="725"/>
      <c r="W17" s="725"/>
      <c r="X17" s="726"/>
    </row>
    <row r="18" spans="2:26">
      <c r="B18" s="819"/>
      <c r="C18" s="747"/>
      <c r="D18" s="748"/>
      <c r="E18" s="748"/>
      <c r="F18" s="748"/>
      <c r="G18" s="748"/>
      <c r="H18" s="821">
        <v>1</v>
      </c>
      <c r="I18" s="822"/>
      <c r="J18" s="789"/>
      <c r="K18" s="789"/>
      <c r="L18" s="789"/>
      <c r="M18" s="789"/>
      <c r="N18" s="824"/>
      <c r="O18" s="66" t="s">
        <v>157</v>
      </c>
      <c r="P18" s="823">
        <v>12</v>
      </c>
      <c r="Q18" s="823"/>
      <c r="R18" s="823"/>
      <c r="S18" s="823"/>
      <c r="T18" s="823"/>
      <c r="U18" s="825"/>
      <c r="V18" s="727"/>
      <c r="W18" s="727"/>
      <c r="X18" s="728"/>
    </row>
    <row r="19" spans="2:26">
      <c r="B19" s="817" t="s">
        <v>7</v>
      </c>
      <c r="C19" s="685" t="s">
        <v>77</v>
      </c>
      <c r="D19" s="820"/>
      <c r="E19" s="820"/>
      <c r="F19" s="820"/>
      <c r="G19" s="820"/>
      <c r="H19" s="710" t="s">
        <v>158</v>
      </c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  <c r="U19" s="720"/>
      <c r="V19" s="723">
        <f>H21/K21/N21</f>
        <v>2.7777777777777776E-2</v>
      </c>
      <c r="W19" s="723"/>
      <c r="X19" s="724"/>
    </row>
    <row r="20" spans="2:26">
      <c r="B20" s="818"/>
      <c r="C20" s="688"/>
      <c r="D20" s="746"/>
      <c r="E20" s="746"/>
      <c r="F20" s="746"/>
      <c r="G20" s="746"/>
      <c r="H20" s="24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6"/>
      <c r="V20" s="725"/>
      <c r="W20" s="725"/>
      <c r="X20" s="726"/>
    </row>
    <row r="21" spans="2:26">
      <c r="B21" s="819"/>
      <c r="C21" s="747"/>
      <c r="D21" s="748"/>
      <c r="E21" s="748"/>
      <c r="F21" s="748"/>
      <c r="G21" s="748"/>
      <c r="H21" s="821">
        <v>1</v>
      </c>
      <c r="I21" s="822"/>
      <c r="J21" s="27" t="s">
        <v>159</v>
      </c>
      <c r="K21" s="789">
        <v>3</v>
      </c>
      <c r="L21" s="789"/>
      <c r="M21" s="66" t="s">
        <v>157</v>
      </c>
      <c r="N21" s="823">
        <v>12</v>
      </c>
      <c r="O21" s="823"/>
      <c r="P21" s="28"/>
      <c r="Q21" s="28"/>
      <c r="R21" s="28"/>
      <c r="S21" s="28"/>
      <c r="T21" s="28"/>
      <c r="U21" s="29"/>
      <c r="V21" s="727"/>
      <c r="W21" s="727"/>
      <c r="X21" s="728"/>
    </row>
    <row r="22" spans="2:26">
      <c r="B22" s="459"/>
      <c r="C22" s="730" t="s">
        <v>160</v>
      </c>
      <c r="D22" s="731"/>
      <c r="E22" s="731"/>
      <c r="F22" s="731"/>
      <c r="G22" s="731"/>
      <c r="H22" s="731"/>
      <c r="I22" s="731"/>
      <c r="J22" s="731"/>
      <c r="K22" s="731"/>
      <c r="L22" s="731"/>
      <c r="M22" s="731"/>
      <c r="N22" s="731"/>
      <c r="O22" s="731"/>
      <c r="P22" s="731"/>
      <c r="Q22" s="731"/>
      <c r="R22" s="731"/>
      <c r="S22" s="731"/>
      <c r="T22" s="731"/>
      <c r="U22" s="731"/>
      <c r="V22" s="732">
        <f>SUM(V16:X21)</f>
        <v>0.1111111111111111</v>
      </c>
      <c r="W22" s="733"/>
      <c r="X22" s="733"/>
    </row>
    <row r="23" spans="2:26" ht="18.75" customHeight="1">
      <c r="B23" s="460" t="s">
        <v>8</v>
      </c>
      <c r="C23" s="734" t="s">
        <v>183</v>
      </c>
      <c r="D23" s="735"/>
      <c r="E23" s="735"/>
      <c r="F23" s="735"/>
      <c r="G23" s="735"/>
      <c r="H23" s="735"/>
      <c r="I23" s="735"/>
      <c r="J23" s="735"/>
      <c r="K23" s="735"/>
      <c r="L23" s="735"/>
      <c r="M23" s="735"/>
      <c r="N23" s="735"/>
      <c r="O23" s="735"/>
      <c r="P23" s="735"/>
      <c r="Q23" s="672">
        <f>V13</f>
        <v>0.34800000000000009</v>
      </c>
      <c r="R23" s="736"/>
      <c r="S23" s="30" t="s">
        <v>161</v>
      </c>
      <c r="T23" s="737">
        <f>V22</f>
        <v>0.1111111111111111</v>
      </c>
      <c r="U23" s="738"/>
      <c r="V23" s="674">
        <f>Q23*T23</f>
        <v>3.8666666666666676E-2</v>
      </c>
      <c r="W23" s="739"/>
      <c r="X23" s="740"/>
    </row>
    <row r="24" spans="2:26" ht="21.75" customHeight="1">
      <c r="B24" s="458" t="s">
        <v>9</v>
      </c>
      <c r="C24" s="31" t="s">
        <v>133</v>
      </c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465">
        <f>8%*40%</f>
        <v>3.2000000000000001E-2</v>
      </c>
      <c r="R24" s="30"/>
      <c r="S24" s="30" t="s">
        <v>161</v>
      </c>
      <c r="T24" s="466">
        <f>V22</f>
        <v>0.1111111111111111</v>
      </c>
      <c r="U24" s="35"/>
      <c r="V24" s="674">
        <f>Q24*T24</f>
        <v>3.5555555555555553E-3</v>
      </c>
      <c r="W24" s="739"/>
      <c r="X24" s="740"/>
    </row>
    <row r="25" spans="2:26" ht="21.75" customHeight="1">
      <c r="C25" s="749" t="s">
        <v>162</v>
      </c>
      <c r="D25" s="750"/>
      <c r="E25" s="750"/>
      <c r="F25" s="750"/>
      <c r="G25" s="750"/>
      <c r="H25" s="750"/>
      <c r="I25" s="750"/>
      <c r="J25" s="750"/>
      <c r="K25" s="750"/>
      <c r="L25" s="750"/>
      <c r="M25" s="750"/>
      <c r="N25" s="750"/>
      <c r="O25" s="750"/>
      <c r="P25" s="750"/>
      <c r="Q25" s="750"/>
      <c r="R25" s="750"/>
      <c r="S25" s="750"/>
      <c r="T25" s="750"/>
      <c r="U25" s="750"/>
      <c r="V25" s="751">
        <f>SUM(V22:X24)</f>
        <v>0.15333333333333335</v>
      </c>
      <c r="W25" s="808"/>
      <c r="X25" s="808"/>
    </row>
    <row r="26" spans="2:26">
      <c r="C26" s="36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8"/>
      <c r="W26" s="39"/>
      <c r="X26" s="40"/>
    </row>
    <row r="27" spans="2:26" ht="24" customHeight="1">
      <c r="C27" s="809" t="s">
        <v>184</v>
      </c>
      <c r="D27" s="810"/>
      <c r="E27" s="810"/>
      <c r="F27" s="810"/>
      <c r="G27" s="810"/>
      <c r="H27" s="810"/>
      <c r="I27" s="810"/>
      <c r="J27" s="810"/>
      <c r="K27" s="810"/>
      <c r="L27" s="810"/>
      <c r="M27" s="810"/>
      <c r="N27" s="810"/>
      <c r="O27" s="810"/>
      <c r="P27" s="810"/>
      <c r="Q27" s="810"/>
      <c r="R27" s="810"/>
      <c r="S27" s="810"/>
      <c r="T27" s="810"/>
      <c r="U27" s="810"/>
      <c r="V27" s="810"/>
      <c r="W27" s="810"/>
      <c r="X27" s="811"/>
    </row>
    <row r="28" spans="2:26" ht="71.25" customHeight="1">
      <c r="C28" s="710" t="str">
        <f>CONCATENATE("O salário referente ao período de licença maternidade é coberto pela previdência social, inclusive a gratificação natalina respectiva (13º salário – art. 86 da IN RFB Nº 971/09)",", de modo que o salário do substituto e o décimo terceiro respectivo já consta na planilha de custos."," Contudo, a previdência social não cobre a remuneração de férias proporcional ao período da licença. Estima-se que ",K30*100,"% das empregadas se afastam por licença maternidade por ano.")</f>
        <v>O salário referente ao período de licença maternidade é coberto pela previdência social, inclusive a gratificação natalina respectiva (13º salário – art. 86 da IN RFB Nº 971/09), de modo que o salário do substituto e o décimo terceiro respectivo já consta na planilha de custos. Contudo, a previdência social não cobre a remuneração de férias proporcional ao período da licença. Estima-se que 2% das empregadas se afastam por licença maternidade por ano.</v>
      </c>
      <c r="D28" s="719"/>
      <c r="E28" s="719"/>
      <c r="F28" s="719"/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  <c r="U28" s="719"/>
      <c r="V28" s="719"/>
      <c r="W28" s="719"/>
      <c r="X28" s="720"/>
    </row>
    <row r="29" spans="2:26">
      <c r="B29" s="709" t="s">
        <v>6</v>
      </c>
      <c r="C29" s="710" t="s">
        <v>163</v>
      </c>
      <c r="D29" s="711"/>
      <c r="E29" s="711"/>
      <c r="F29" s="711"/>
      <c r="G29" s="712"/>
      <c r="H29" s="812" t="s">
        <v>164</v>
      </c>
      <c r="I29" s="813"/>
      <c r="J29" s="813"/>
      <c r="K29" s="813"/>
      <c r="L29" s="813"/>
      <c r="M29" s="813"/>
      <c r="N29" s="813"/>
      <c r="O29" s="813"/>
      <c r="P29" s="813"/>
      <c r="Q29" s="813"/>
      <c r="R29" s="813"/>
      <c r="S29" s="813"/>
      <c r="T29" s="813"/>
      <c r="U29" s="814"/>
      <c r="V29" s="723">
        <f>H30*K30*N30</f>
        <v>7.407407407407407E-4</v>
      </c>
      <c r="W29" s="723"/>
      <c r="X29" s="724"/>
    </row>
    <row r="30" spans="2:26" ht="21" customHeight="1">
      <c r="B30" s="709"/>
      <c r="C30" s="716"/>
      <c r="D30" s="717"/>
      <c r="E30" s="717"/>
      <c r="F30" s="717"/>
      <c r="G30" s="718"/>
      <c r="H30" s="815">
        <f>(1+1/3)*1/12</f>
        <v>0.1111111111111111</v>
      </c>
      <c r="I30" s="816"/>
      <c r="J30" s="27" t="s">
        <v>161</v>
      </c>
      <c r="K30" s="729">
        <v>0.02</v>
      </c>
      <c r="L30" s="729"/>
      <c r="M30" s="21" t="s">
        <v>161</v>
      </c>
      <c r="N30" s="804">
        <f>4/12</f>
        <v>0.33333333333333331</v>
      </c>
      <c r="O30" s="804"/>
      <c r="P30" s="27"/>
      <c r="Q30" s="805"/>
      <c r="R30" s="805"/>
      <c r="S30" s="71"/>
      <c r="T30" s="71"/>
      <c r="U30" s="72"/>
      <c r="V30" s="727"/>
      <c r="W30" s="727"/>
      <c r="X30" s="728"/>
      <c r="Z30" s="41"/>
    </row>
    <row r="31" spans="2:26" ht="21" customHeight="1">
      <c r="B31" s="70" t="s">
        <v>7</v>
      </c>
      <c r="C31" s="734" t="s">
        <v>165</v>
      </c>
      <c r="D31" s="735"/>
      <c r="E31" s="735"/>
      <c r="F31" s="735"/>
      <c r="G31" s="735"/>
      <c r="H31" s="735"/>
      <c r="I31" s="735"/>
      <c r="J31" s="735"/>
      <c r="K31" s="735"/>
      <c r="L31" s="735"/>
      <c r="M31" s="735"/>
      <c r="N31" s="735"/>
      <c r="O31" s="735"/>
      <c r="P31" s="735"/>
      <c r="Q31" s="42"/>
      <c r="R31" s="42"/>
      <c r="S31" s="73"/>
      <c r="T31" s="73"/>
      <c r="U31" s="74"/>
      <c r="V31" s="806">
        <f>(V13*V29)</f>
        <v>2.5777777777777783E-4</v>
      </c>
      <c r="W31" s="807"/>
      <c r="X31" s="807"/>
    </row>
    <row r="32" spans="2:26" ht="20.25" customHeight="1">
      <c r="C32" s="749" t="s">
        <v>166</v>
      </c>
      <c r="D32" s="750"/>
      <c r="E32" s="750"/>
      <c r="F32" s="750"/>
      <c r="G32" s="750"/>
      <c r="H32" s="750"/>
      <c r="I32" s="750"/>
      <c r="J32" s="750"/>
      <c r="K32" s="750"/>
      <c r="L32" s="750"/>
      <c r="M32" s="750"/>
      <c r="N32" s="750"/>
      <c r="O32" s="750"/>
      <c r="P32" s="750"/>
      <c r="Q32" s="750"/>
      <c r="R32" s="750"/>
      <c r="S32" s="750"/>
      <c r="T32" s="750"/>
      <c r="U32" s="750"/>
      <c r="V32" s="751">
        <f>SUM(V29:X31)</f>
        <v>9.9851851851851859E-4</v>
      </c>
      <c r="W32" s="808"/>
      <c r="X32" s="808"/>
    </row>
    <row r="33" spans="1:34" ht="20.25" customHeight="1">
      <c r="C33" s="31" t="s">
        <v>185</v>
      </c>
      <c r="D33" s="37"/>
      <c r="E33" s="37"/>
      <c r="F33" s="37"/>
      <c r="G33" s="37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38"/>
      <c r="W33" s="39"/>
      <c r="X33" s="40"/>
    </row>
    <row r="34" spans="1:34" s="18" customFormat="1" ht="20.25" customHeight="1">
      <c r="A34" s="19"/>
      <c r="C34" s="753" t="s">
        <v>167</v>
      </c>
      <c r="D34" s="754"/>
      <c r="E34" s="754"/>
      <c r="F34" s="754"/>
      <c r="G34" s="754"/>
      <c r="H34" s="802"/>
      <c r="I34" s="802"/>
      <c r="J34" s="802"/>
      <c r="K34" s="802"/>
      <c r="L34" s="802"/>
      <c r="M34" s="802"/>
      <c r="N34" s="802"/>
      <c r="O34" s="802"/>
      <c r="P34" s="802"/>
      <c r="Q34" s="802"/>
      <c r="R34" s="802"/>
      <c r="S34" s="802"/>
      <c r="T34" s="802"/>
      <c r="U34" s="802"/>
      <c r="V34" s="754"/>
      <c r="W34" s="754"/>
      <c r="X34" s="755"/>
      <c r="Y34" s="53"/>
      <c r="AA34" s="19"/>
      <c r="AB34" s="19"/>
      <c r="AC34" s="19"/>
      <c r="AD34" s="19"/>
      <c r="AE34" s="19"/>
      <c r="AF34" s="19"/>
      <c r="AG34" s="19"/>
      <c r="AH34" s="19"/>
    </row>
    <row r="35" spans="1:34" s="18" customFormat="1">
      <c r="A35" s="19"/>
      <c r="B35" s="709" t="s">
        <v>6</v>
      </c>
      <c r="C35" s="688" t="s">
        <v>78</v>
      </c>
      <c r="D35" s="746"/>
      <c r="E35" s="746"/>
      <c r="F35" s="746"/>
      <c r="G35" s="746"/>
      <c r="H35" s="710" t="str">
        <f>CONCATENATE("Trata-se de valor devido ao empregado no caso de o empregador rescindir o contrato sem justo motivo e sem lhe conceder aviso prévio, conforme disposto no § 1º do art. 487 da CLT.","Estima-se que ",M40*100," % do pessoal ao ano é demitido pelo empregador antes do término do contrato de trabalho.","Fundamento Legal: Artigos 7º, XXI, da CF/88 e Arts. 477, 487 e 491 da CLT.")</f>
        <v>Trata-se de valor devido ao empregado no caso de o empregador rescindir o contrato sem justo motivo e sem lhe conceder aviso prévio, conforme disposto no § 1º do art. 487 da CLT.Estima-se que 3,5 % do pessoal ao ano é demitido pelo empregador antes do término do contrato de trabalho.Fundamento Legal: Artigos 7º, XXI, da CF/88 e Arts. 477, 487 e 491 da CLT.</v>
      </c>
      <c r="I35" s="719"/>
      <c r="J35" s="719"/>
      <c r="K35" s="719"/>
      <c r="L35" s="719"/>
      <c r="M35" s="719"/>
      <c r="N35" s="719"/>
      <c r="O35" s="719"/>
      <c r="P35" s="719"/>
      <c r="Q35" s="719"/>
      <c r="R35" s="719"/>
      <c r="S35" s="719"/>
      <c r="T35" s="719"/>
      <c r="U35" s="720"/>
      <c r="V35" s="723">
        <f>(I40/K40*M40)</f>
        <v>2.9166666666666668E-3</v>
      </c>
      <c r="W35" s="723"/>
      <c r="X35" s="724"/>
      <c r="Y35" s="53"/>
      <c r="AA35" s="19"/>
      <c r="AB35" s="19"/>
      <c r="AC35" s="19"/>
      <c r="AD35" s="19"/>
      <c r="AE35" s="19"/>
      <c r="AF35" s="19"/>
      <c r="AG35" s="19"/>
      <c r="AH35" s="19"/>
    </row>
    <row r="36" spans="1:34" s="18" customFormat="1">
      <c r="A36" s="19"/>
      <c r="B36" s="709"/>
      <c r="C36" s="688"/>
      <c r="D36" s="746"/>
      <c r="E36" s="746"/>
      <c r="F36" s="746"/>
      <c r="G36" s="746"/>
      <c r="H36" s="713"/>
      <c r="I36" s="721"/>
      <c r="J36" s="721"/>
      <c r="K36" s="721"/>
      <c r="L36" s="721"/>
      <c r="M36" s="721"/>
      <c r="N36" s="721"/>
      <c r="O36" s="721"/>
      <c r="P36" s="721"/>
      <c r="Q36" s="721"/>
      <c r="R36" s="721"/>
      <c r="S36" s="721"/>
      <c r="T36" s="721"/>
      <c r="U36" s="722"/>
      <c r="V36" s="725"/>
      <c r="W36" s="725"/>
      <c r="X36" s="726"/>
      <c r="Y36" s="53"/>
      <c r="AA36" s="19"/>
      <c r="AB36" s="19"/>
      <c r="AC36" s="19"/>
      <c r="AD36" s="19"/>
      <c r="AE36" s="19"/>
      <c r="AF36" s="19"/>
      <c r="AG36" s="19"/>
      <c r="AH36" s="19"/>
    </row>
    <row r="37" spans="1:34" s="18" customFormat="1">
      <c r="A37" s="19"/>
      <c r="B37" s="709"/>
      <c r="C37" s="688"/>
      <c r="D37" s="746"/>
      <c r="E37" s="746"/>
      <c r="F37" s="746"/>
      <c r="G37" s="746"/>
      <c r="H37" s="713"/>
      <c r="I37" s="721"/>
      <c r="J37" s="721"/>
      <c r="K37" s="721"/>
      <c r="L37" s="721"/>
      <c r="M37" s="721"/>
      <c r="N37" s="721"/>
      <c r="O37" s="721"/>
      <c r="P37" s="721"/>
      <c r="Q37" s="721"/>
      <c r="R37" s="721"/>
      <c r="S37" s="721"/>
      <c r="T37" s="721"/>
      <c r="U37" s="722"/>
      <c r="V37" s="725"/>
      <c r="W37" s="725"/>
      <c r="X37" s="726"/>
      <c r="Y37" s="53"/>
      <c r="AA37" s="19"/>
      <c r="AB37" s="19"/>
      <c r="AC37" s="19"/>
      <c r="AD37" s="19"/>
      <c r="AE37" s="19"/>
      <c r="AF37" s="19"/>
      <c r="AG37" s="19"/>
      <c r="AH37" s="19"/>
    </row>
    <row r="38" spans="1:34" s="18" customFormat="1">
      <c r="A38" s="19"/>
      <c r="B38" s="709"/>
      <c r="C38" s="688"/>
      <c r="D38" s="746"/>
      <c r="E38" s="746"/>
      <c r="F38" s="746"/>
      <c r="G38" s="746"/>
      <c r="H38" s="713"/>
      <c r="I38" s="721"/>
      <c r="J38" s="721"/>
      <c r="K38" s="721"/>
      <c r="L38" s="721"/>
      <c r="M38" s="721"/>
      <c r="N38" s="721"/>
      <c r="O38" s="721"/>
      <c r="P38" s="721"/>
      <c r="Q38" s="721"/>
      <c r="R38" s="721"/>
      <c r="S38" s="721"/>
      <c r="T38" s="721"/>
      <c r="U38" s="722"/>
      <c r="V38" s="725"/>
      <c r="W38" s="725"/>
      <c r="X38" s="726"/>
      <c r="Y38" s="53"/>
      <c r="AA38" s="19"/>
      <c r="AB38" s="19"/>
      <c r="AC38" s="19"/>
      <c r="AD38" s="19"/>
      <c r="AE38" s="19"/>
      <c r="AF38" s="19"/>
      <c r="AG38" s="19"/>
      <c r="AH38" s="19"/>
    </row>
    <row r="39" spans="1:34" s="18" customFormat="1">
      <c r="A39" s="19"/>
      <c r="B39" s="709"/>
      <c r="C39" s="688"/>
      <c r="D39" s="746"/>
      <c r="E39" s="746"/>
      <c r="F39" s="746"/>
      <c r="G39" s="746"/>
      <c r="H39" s="713"/>
      <c r="I39" s="721"/>
      <c r="J39" s="721"/>
      <c r="K39" s="721"/>
      <c r="L39" s="721"/>
      <c r="M39" s="721"/>
      <c r="N39" s="721"/>
      <c r="O39" s="721"/>
      <c r="P39" s="721"/>
      <c r="Q39" s="721"/>
      <c r="R39" s="721"/>
      <c r="S39" s="721"/>
      <c r="T39" s="721"/>
      <c r="U39" s="722"/>
      <c r="V39" s="725"/>
      <c r="W39" s="725"/>
      <c r="X39" s="726"/>
      <c r="Y39" s="53"/>
      <c r="AA39" s="19"/>
      <c r="AB39" s="19"/>
      <c r="AC39" s="19"/>
      <c r="AD39" s="19"/>
      <c r="AE39" s="19"/>
      <c r="AF39" s="19"/>
      <c r="AG39" s="19"/>
      <c r="AH39" s="19"/>
    </row>
    <row r="40" spans="1:34" s="18" customFormat="1">
      <c r="A40" s="19"/>
      <c r="B40" s="709"/>
      <c r="C40" s="747"/>
      <c r="D40" s="748"/>
      <c r="E40" s="748"/>
      <c r="F40" s="748"/>
      <c r="G40" s="748"/>
      <c r="H40" s="75" t="s">
        <v>168</v>
      </c>
      <c r="I40" s="463">
        <v>1</v>
      </c>
      <c r="J40" s="27" t="s">
        <v>159</v>
      </c>
      <c r="K40" s="464">
        <v>12</v>
      </c>
      <c r="L40" s="27" t="s">
        <v>161</v>
      </c>
      <c r="M40" s="788">
        <v>3.5000000000000003E-2</v>
      </c>
      <c r="N40" s="803"/>
      <c r="O40" s="27" t="s">
        <v>169</v>
      </c>
      <c r="P40" s="21"/>
      <c r="Q40" s="21"/>
      <c r="R40" s="21"/>
      <c r="S40" s="21"/>
      <c r="T40" s="22"/>
      <c r="U40" s="23"/>
      <c r="V40" s="727"/>
      <c r="W40" s="727"/>
      <c r="X40" s="728"/>
      <c r="Y40" s="53"/>
      <c r="AA40" s="19"/>
      <c r="AB40" s="19"/>
      <c r="AC40" s="19"/>
      <c r="AD40" s="19"/>
      <c r="AE40" s="19"/>
      <c r="AF40" s="19"/>
      <c r="AG40" s="19"/>
      <c r="AH40" s="19"/>
    </row>
    <row r="41" spans="1:34" s="18" customFormat="1" ht="24.75" customHeight="1">
      <c r="A41" s="19"/>
      <c r="B41" s="70" t="s">
        <v>7</v>
      </c>
      <c r="C41" s="794" t="s">
        <v>170</v>
      </c>
      <c r="D41" s="795"/>
      <c r="E41" s="795"/>
      <c r="F41" s="795"/>
      <c r="G41" s="796"/>
      <c r="H41" s="797">
        <f>1/12</f>
        <v>8.3333333333333329E-2</v>
      </c>
      <c r="I41" s="798"/>
      <c r="J41" s="27" t="s">
        <v>171</v>
      </c>
      <c r="K41" s="798">
        <f>(1+1/3)/12</f>
        <v>0.1111111111111111</v>
      </c>
      <c r="L41" s="798"/>
      <c r="M41" s="758" t="s">
        <v>161</v>
      </c>
      <c r="N41" s="748"/>
      <c r="O41" s="798">
        <f>V35</f>
        <v>2.9166666666666668E-3</v>
      </c>
      <c r="P41" s="798"/>
      <c r="Q41" s="21"/>
      <c r="R41" s="21"/>
      <c r="S41" s="21"/>
      <c r="T41" s="22"/>
      <c r="U41" s="23"/>
      <c r="V41" s="799">
        <f>(H41+K41)*O41</f>
        <v>5.6712962962962956E-4</v>
      </c>
      <c r="W41" s="800"/>
      <c r="X41" s="801"/>
      <c r="Y41" s="53"/>
      <c r="AA41" s="19"/>
      <c r="AB41" s="19"/>
      <c r="AC41" s="19"/>
      <c r="AD41" s="19"/>
      <c r="AE41" s="19"/>
      <c r="AF41" s="19"/>
      <c r="AG41" s="19"/>
      <c r="AH41" s="19"/>
    </row>
    <row r="42" spans="1:34" s="18" customFormat="1">
      <c r="A42" s="19"/>
      <c r="B42" s="377"/>
      <c r="C42" s="779" t="s">
        <v>160</v>
      </c>
      <c r="D42" s="780"/>
      <c r="E42" s="780"/>
      <c r="F42" s="780"/>
      <c r="G42" s="780"/>
      <c r="H42" s="780"/>
      <c r="I42" s="780"/>
      <c r="J42" s="780"/>
      <c r="K42" s="780"/>
      <c r="L42" s="780"/>
      <c r="M42" s="780"/>
      <c r="N42" s="780"/>
      <c r="O42" s="780"/>
      <c r="P42" s="780"/>
      <c r="Q42" s="780"/>
      <c r="R42" s="780"/>
      <c r="S42" s="780"/>
      <c r="T42" s="780"/>
      <c r="U42" s="781"/>
      <c r="V42" s="782">
        <f>SUM(V35:X41)</f>
        <v>3.4837962962962965E-3</v>
      </c>
      <c r="W42" s="783"/>
      <c r="X42" s="784"/>
      <c r="Y42" s="53"/>
      <c r="AA42" s="19"/>
      <c r="AB42" s="19"/>
      <c r="AC42" s="19"/>
      <c r="AD42" s="19"/>
      <c r="AE42" s="19"/>
      <c r="AF42" s="19"/>
      <c r="AG42" s="19"/>
      <c r="AH42" s="19"/>
    </row>
    <row r="43" spans="1:34" s="18" customFormat="1" ht="68.25" customHeight="1">
      <c r="A43" s="19"/>
      <c r="C43" s="785" t="s">
        <v>186</v>
      </c>
      <c r="D43" s="786"/>
      <c r="E43" s="786"/>
      <c r="F43" s="786"/>
      <c r="G43" s="786"/>
      <c r="H43" s="786"/>
      <c r="I43" s="786"/>
      <c r="J43" s="786"/>
      <c r="K43" s="786"/>
      <c r="L43" s="786"/>
      <c r="M43" s="786"/>
      <c r="N43" s="786"/>
      <c r="O43" s="786"/>
      <c r="P43" s="786"/>
      <c r="Q43" s="786"/>
      <c r="R43" s="786"/>
      <c r="S43" s="786"/>
      <c r="T43" s="786"/>
      <c r="U43" s="786"/>
      <c r="V43" s="786"/>
      <c r="W43" s="786"/>
      <c r="X43" s="787"/>
      <c r="Y43" s="53"/>
      <c r="AA43" s="19"/>
      <c r="AB43" s="19"/>
      <c r="AC43" s="19"/>
      <c r="AD43" s="19"/>
      <c r="AE43" s="19"/>
      <c r="AF43" s="19"/>
      <c r="AG43" s="19"/>
      <c r="AH43" s="19"/>
    </row>
    <row r="44" spans="1:34" s="18" customFormat="1" ht="18.75" customHeight="1">
      <c r="A44" s="19"/>
      <c r="B44" s="70" t="s">
        <v>8</v>
      </c>
      <c r="C44" s="31" t="s">
        <v>1128</v>
      </c>
      <c r="D44" s="32"/>
      <c r="E44" s="32"/>
      <c r="F44" s="32"/>
      <c r="G44" s="32"/>
      <c r="H44" s="21"/>
      <c r="I44" s="21"/>
      <c r="J44" s="21"/>
      <c r="K44" s="21"/>
      <c r="L44" s="21"/>
      <c r="M44" s="21"/>
      <c r="N44" s="21"/>
      <c r="O44" s="467">
        <f>V13-V9</f>
        <v>0.26800000000000007</v>
      </c>
      <c r="P44" s="21" t="s">
        <v>161</v>
      </c>
      <c r="Q44" s="788">
        <f>1/12</f>
        <v>8.3333333333333329E-2</v>
      </c>
      <c r="R44" s="789"/>
      <c r="S44" s="27" t="s">
        <v>161</v>
      </c>
      <c r="T44" s="790">
        <f>V35</f>
        <v>2.9166666666666668E-3</v>
      </c>
      <c r="U44" s="791"/>
      <c r="V44" s="792">
        <f>(Q44*T44*O44)</f>
        <v>6.5138888888888899E-5</v>
      </c>
      <c r="W44" s="792"/>
      <c r="X44" s="793"/>
      <c r="Y44" s="53"/>
      <c r="AA44" s="19"/>
      <c r="AB44" s="19"/>
      <c r="AC44" s="19"/>
      <c r="AD44" s="19"/>
      <c r="AE44" s="19"/>
      <c r="AF44" s="19"/>
      <c r="AG44" s="19"/>
      <c r="AH44" s="19"/>
    </row>
    <row r="45" spans="1:34" s="18" customFormat="1" ht="30" customHeight="1">
      <c r="A45" s="19"/>
      <c r="B45" s="70" t="s">
        <v>9</v>
      </c>
      <c r="C45" s="666" t="s">
        <v>203</v>
      </c>
      <c r="D45" s="667"/>
      <c r="E45" s="667"/>
      <c r="F45" s="667"/>
      <c r="G45" s="668"/>
      <c r="J45" s="44"/>
      <c r="K45" s="768">
        <f>V9</f>
        <v>0.08</v>
      </c>
      <c r="L45" s="769"/>
      <c r="M45" s="44" t="s">
        <v>161</v>
      </c>
      <c r="N45" s="770">
        <f>V42</f>
        <v>3.4837962962962965E-3</v>
      </c>
      <c r="O45" s="770"/>
      <c r="P45" s="44"/>
      <c r="Q45" s="44"/>
      <c r="R45" s="44"/>
      <c r="S45" s="44"/>
      <c r="T45" s="44"/>
      <c r="U45" s="45"/>
      <c r="V45" s="771">
        <f>(K45*N45)</f>
        <v>2.787037037037037E-4</v>
      </c>
      <c r="W45" s="772"/>
      <c r="X45" s="773"/>
      <c r="Y45" s="53"/>
      <c r="AA45" s="19"/>
      <c r="AB45" s="19"/>
      <c r="AC45" s="19"/>
      <c r="AD45" s="19"/>
      <c r="AE45" s="19"/>
      <c r="AF45" s="19"/>
      <c r="AG45" s="19"/>
      <c r="AH45" s="19"/>
    </row>
    <row r="46" spans="1:34" s="18" customFormat="1">
      <c r="A46" s="19"/>
      <c r="B46" s="709" t="s">
        <v>10</v>
      </c>
      <c r="C46" s="759" t="s">
        <v>172</v>
      </c>
      <c r="D46" s="759"/>
      <c r="E46" s="759"/>
      <c r="F46" s="759"/>
      <c r="G46" s="759"/>
      <c r="H46" s="774" t="s">
        <v>187</v>
      </c>
      <c r="I46" s="711"/>
      <c r="J46" s="711"/>
      <c r="K46" s="711"/>
      <c r="L46" s="711"/>
      <c r="M46" s="711"/>
      <c r="N46" s="711"/>
      <c r="O46" s="711"/>
      <c r="P46" s="711"/>
      <c r="Q46" s="711"/>
      <c r="R46" s="711"/>
      <c r="S46" s="711"/>
      <c r="T46" s="711"/>
      <c r="U46" s="712"/>
      <c r="V46" s="700">
        <f>H50*K50</f>
        <v>3.2000000000000001E-2</v>
      </c>
      <c r="W46" s="723"/>
      <c r="X46" s="724"/>
      <c r="Y46" s="53"/>
      <c r="AA46" s="19"/>
      <c r="AB46" s="19"/>
      <c r="AC46" s="19"/>
      <c r="AD46" s="19"/>
      <c r="AE46" s="19"/>
      <c r="AF46" s="19"/>
      <c r="AG46" s="19"/>
      <c r="AH46" s="19"/>
    </row>
    <row r="47" spans="1:34" s="18" customFormat="1">
      <c r="A47" s="19"/>
      <c r="B47" s="709"/>
      <c r="C47" s="759"/>
      <c r="D47" s="759"/>
      <c r="E47" s="759"/>
      <c r="F47" s="759"/>
      <c r="G47" s="759"/>
      <c r="H47" s="775"/>
      <c r="I47" s="714"/>
      <c r="J47" s="714"/>
      <c r="K47" s="714"/>
      <c r="L47" s="714"/>
      <c r="M47" s="714"/>
      <c r="N47" s="714"/>
      <c r="O47" s="714"/>
      <c r="P47" s="714"/>
      <c r="Q47" s="714"/>
      <c r="R47" s="714"/>
      <c r="S47" s="714"/>
      <c r="T47" s="714"/>
      <c r="U47" s="715"/>
      <c r="V47" s="703"/>
      <c r="W47" s="725"/>
      <c r="X47" s="726"/>
      <c r="Y47" s="53"/>
      <c r="AA47" s="19"/>
      <c r="AB47" s="19"/>
      <c r="AC47" s="19"/>
      <c r="AD47" s="19"/>
      <c r="AE47" s="19"/>
      <c r="AF47" s="19"/>
      <c r="AG47" s="19"/>
      <c r="AH47" s="19"/>
    </row>
    <row r="48" spans="1:34" s="18" customFormat="1">
      <c r="A48" s="19"/>
      <c r="B48" s="709"/>
      <c r="C48" s="759"/>
      <c r="D48" s="759"/>
      <c r="E48" s="759"/>
      <c r="F48" s="759"/>
      <c r="G48" s="759"/>
      <c r="H48" s="775"/>
      <c r="I48" s="714"/>
      <c r="J48" s="714"/>
      <c r="K48" s="714"/>
      <c r="L48" s="714"/>
      <c r="M48" s="714"/>
      <c r="N48" s="714"/>
      <c r="O48" s="714"/>
      <c r="P48" s="714"/>
      <c r="Q48" s="714"/>
      <c r="R48" s="714"/>
      <c r="S48" s="714"/>
      <c r="T48" s="714"/>
      <c r="U48" s="715"/>
      <c r="V48" s="703"/>
      <c r="W48" s="725"/>
      <c r="X48" s="726"/>
      <c r="Y48" s="53"/>
      <c r="AA48" s="19"/>
      <c r="AB48" s="19"/>
      <c r="AC48" s="19"/>
      <c r="AD48" s="19"/>
      <c r="AE48" s="19"/>
      <c r="AF48" s="19"/>
      <c r="AG48" s="19"/>
      <c r="AH48" s="19"/>
    </row>
    <row r="49" spans="1:34">
      <c r="B49" s="709"/>
      <c r="C49" s="759"/>
      <c r="D49" s="759"/>
      <c r="E49" s="759"/>
      <c r="F49" s="759"/>
      <c r="G49" s="759"/>
      <c r="H49" s="775"/>
      <c r="I49" s="714"/>
      <c r="J49" s="714"/>
      <c r="K49" s="714"/>
      <c r="L49" s="714"/>
      <c r="M49" s="714"/>
      <c r="N49" s="714"/>
      <c r="O49" s="714"/>
      <c r="P49" s="714"/>
      <c r="Q49" s="714"/>
      <c r="R49" s="714"/>
      <c r="S49" s="714"/>
      <c r="T49" s="714"/>
      <c r="U49" s="715"/>
      <c r="V49" s="703"/>
      <c r="W49" s="725"/>
      <c r="X49" s="726"/>
    </row>
    <row r="50" spans="1:34" ht="21" customHeight="1">
      <c r="B50" s="709"/>
      <c r="C50" s="759"/>
      <c r="D50" s="759"/>
      <c r="E50" s="759"/>
      <c r="F50" s="759"/>
      <c r="G50" s="759"/>
      <c r="H50" s="776">
        <f>K45</f>
        <v>0.08</v>
      </c>
      <c r="I50" s="777"/>
      <c r="J50" s="46" t="s">
        <v>161</v>
      </c>
      <c r="K50" s="778">
        <v>0.4</v>
      </c>
      <c r="L50" s="778"/>
      <c r="M50" s="46"/>
      <c r="N50" s="46"/>
      <c r="O50" s="46"/>
      <c r="P50" s="46"/>
      <c r="Q50" s="46"/>
      <c r="R50" s="46"/>
      <c r="S50" s="46"/>
      <c r="T50" s="46"/>
      <c r="U50" s="47"/>
      <c r="V50" s="766"/>
      <c r="W50" s="727"/>
      <c r="X50" s="728"/>
    </row>
    <row r="51" spans="1:34" ht="27" customHeight="1">
      <c r="B51" s="709" t="s">
        <v>11</v>
      </c>
      <c r="C51" s="759" t="s">
        <v>188</v>
      </c>
      <c r="D51" s="759"/>
      <c r="E51" s="759"/>
      <c r="F51" s="759"/>
      <c r="G51" s="759"/>
      <c r="H51" s="760" t="str">
        <f>CONCATENATE("Refere-se à indenização de 1 salário para os profissionais que forem demitidos 1 mês antes da data-base. Estima-se em ",N53*100," % o percentual ao ano de empregados demitidos nessa situação.")</f>
        <v>Refere-se à indenização de 1 salário para os profissionais que forem demitidos 1 mês antes da data-base. Estima-se em 1 % o percentual ao ano de empregados demitidos nessa situação.</v>
      </c>
      <c r="I51" s="761"/>
      <c r="J51" s="761"/>
      <c r="K51" s="761"/>
      <c r="L51" s="761"/>
      <c r="M51" s="761"/>
      <c r="N51" s="761"/>
      <c r="O51" s="761"/>
      <c r="P51" s="761"/>
      <c r="Q51" s="761"/>
      <c r="R51" s="761"/>
      <c r="S51" s="761"/>
      <c r="T51" s="761"/>
      <c r="U51" s="762"/>
      <c r="V51" s="700">
        <f>H53/K53*N53</f>
        <v>8.3333333333333328E-4</v>
      </c>
      <c r="W51" s="723"/>
      <c r="X51" s="724"/>
    </row>
    <row r="52" spans="1:34" ht="21" customHeight="1">
      <c r="B52" s="709"/>
      <c r="C52" s="759"/>
      <c r="D52" s="759"/>
      <c r="E52" s="759"/>
      <c r="F52" s="759"/>
      <c r="G52" s="759"/>
      <c r="H52" s="763"/>
      <c r="I52" s="764"/>
      <c r="J52" s="764"/>
      <c r="K52" s="764"/>
      <c r="L52" s="764"/>
      <c r="M52" s="764"/>
      <c r="N52" s="764"/>
      <c r="O52" s="764"/>
      <c r="P52" s="764"/>
      <c r="Q52" s="764"/>
      <c r="R52" s="764"/>
      <c r="S52" s="764"/>
      <c r="T52" s="764"/>
      <c r="U52" s="765"/>
      <c r="V52" s="703"/>
      <c r="W52" s="725"/>
      <c r="X52" s="726"/>
    </row>
    <row r="53" spans="1:34" ht="30" customHeight="1">
      <c r="B53" s="709"/>
      <c r="C53" s="759"/>
      <c r="D53" s="759"/>
      <c r="E53" s="759"/>
      <c r="F53" s="759"/>
      <c r="G53" s="759"/>
      <c r="H53" s="756">
        <v>1</v>
      </c>
      <c r="I53" s="757"/>
      <c r="J53" s="44" t="s">
        <v>159</v>
      </c>
      <c r="K53" s="757">
        <v>12</v>
      </c>
      <c r="L53" s="757"/>
      <c r="M53" s="44" t="s">
        <v>161</v>
      </c>
      <c r="N53" s="767">
        <v>0.01</v>
      </c>
      <c r="O53" s="767"/>
      <c r="P53" s="44"/>
      <c r="Q53" s="44"/>
      <c r="R53" s="44"/>
      <c r="S53" s="44"/>
      <c r="T53" s="44"/>
      <c r="U53" s="45"/>
      <c r="V53" s="766"/>
      <c r="W53" s="727"/>
      <c r="X53" s="728"/>
    </row>
    <row r="54" spans="1:34" ht="23.25" customHeight="1">
      <c r="C54" s="749" t="s">
        <v>167</v>
      </c>
      <c r="D54" s="750"/>
      <c r="E54" s="750"/>
      <c r="F54" s="750"/>
      <c r="G54" s="750"/>
      <c r="H54" s="750"/>
      <c r="I54" s="750"/>
      <c r="J54" s="750"/>
      <c r="K54" s="750"/>
      <c r="L54" s="750"/>
      <c r="M54" s="750"/>
      <c r="N54" s="750"/>
      <c r="O54" s="750"/>
      <c r="P54" s="750"/>
      <c r="Q54" s="750"/>
      <c r="R54" s="750"/>
      <c r="S54" s="750"/>
      <c r="T54" s="750"/>
      <c r="U54" s="750"/>
      <c r="V54" s="751">
        <f>SUM(V42:X53)</f>
        <v>3.666097222222222E-2</v>
      </c>
      <c r="W54" s="752"/>
      <c r="X54" s="752"/>
    </row>
    <row r="55" spans="1:34">
      <c r="C55" s="36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8"/>
      <c r="W55" s="48"/>
      <c r="X55" s="49"/>
    </row>
    <row r="56" spans="1:34" ht="26.25" customHeight="1">
      <c r="C56" s="753" t="s">
        <v>173</v>
      </c>
      <c r="D56" s="754"/>
      <c r="E56" s="754"/>
      <c r="F56" s="754"/>
      <c r="G56" s="754"/>
      <c r="H56" s="754"/>
      <c r="I56" s="754"/>
      <c r="J56" s="754"/>
      <c r="K56" s="754"/>
      <c r="L56" s="754"/>
      <c r="M56" s="754"/>
      <c r="N56" s="754"/>
      <c r="O56" s="754"/>
      <c r="P56" s="754"/>
      <c r="Q56" s="754"/>
      <c r="R56" s="754"/>
      <c r="S56" s="754"/>
      <c r="T56" s="754"/>
      <c r="U56" s="754"/>
      <c r="V56" s="754"/>
      <c r="W56" s="754"/>
      <c r="X56" s="755"/>
    </row>
    <row r="57" spans="1:34">
      <c r="B57" s="709" t="s">
        <v>6</v>
      </c>
      <c r="C57" s="688" t="s">
        <v>81</v>
      </c>
      <c r="D57" s="746"/>
      <c r="E57" s="746"/>
      <c r="F57" s="746"/>
      <c r="G57" s="746"/>
      <c r="H57" s="710" t="s">
        <v>189</v>
      </c>
      <c r="I57" s="719"/>
      <c r="J57" s="719"/>
      <c r="K57" s="719"/>
      <c r="L57" s="719"/>
      <c r="M57" s="719"/>
      <c r="N57" s="719"/>
      <c r="O57" s="719"/>
      <c r="P57" s="719"/>
      <c r="Q57" s="719"/>
      <c r="R57" s="719"/>
      <c r="S57" s="719"/>
      <c r="T57" s="719"/>
      <c r="U57" s="720"/>
      <c r="V57" s="723">
        <f>H60/K60</f>
        <v>8.3333333333333329E-2</v>
      </c>
      <c r="W57" s="723"/>
      <c r="X57" s="724"/>
    </row>
    <row r="58" spans="1:34">
      <c r="B58" s="709"/>
      <c r="C58" s="688"/>
      <c r="D58" s="746"/>
      <c r="E58" s="746"/>
      <c r="F58" s="746"/>
      <c r="G58" s="746"/>
      <c r="H58" s="713"/>
      <c r="I58" s="721"/>
      <c r="J58" s="721"/>
      <c r="K58" s="721"/>
      <c r="L58" s="721"/>
      <c r="M58" s="721"/>
      <c r="N58" s="721"/>
      <c r="O58" s="721"/>
      <c r="P58" s="721"/>
      <c r="Q58" s="721"/>
      <c r="R58" s="721"/>
      <c r="S58" s="721"/>
      <c r="T58" s="721"/>
      <c r="U58" s="722"/>
      <c r="V58" s="725"/>
      <c r="W58" s="725"/>
      <c r="X58" s="726"/>
    </row>
    <row r="59" spans="1:34">
      <c r="B59" s="709"/>
      <c r="C59" s="688"/>
      <c r="D59" s="746"/>
      <c r="E59" s="746"/>
      <c r="F59" s="746"/>
      <c r="G59" s="746"/>
      <c r="H59" s="713"/>
      <c r="I59" s="721"/>
      <c r="J59" s="721"/>
      <c r="K59" s="721"/>
      <c r="L59" s="721"/>
      <c r="M59" s="721"/>
      <c r="N59" s="721"/>
      <c r="O59" s="721"/>
      <c r="P59" s="721"/>
      <c r="Q59" s="721"/>
      <c r="R59" s="721"/>
      <c r="S59" s="721"/>
      <c r="T59" s="721"/>
      <c r="U59" s="722"/>
      <c r="V59" s="725"/>
      <c r="W59" s="725"/>
      <c r="X59" s="726"/>
    </row>
    <row r="60" spans="1:34">
      <c r="B60" s="709"/>
      <c r="C60" s="747"/>
      <c r="D60" s="748"/>
      <c r="E60" s="748"/>
      <c r="F60" s="748"/>
      <c r="G60" s="748"/>
      <c r="H60" s="756">
        <v>1</v>
      </c>
      <c r="I60" s="757"/>
      <c r="J60" s="44" t="s">
        <v>159</v>
      </c>
      <c r="K60" s="757">
        <v>12</v>
      </c>
      <c r="L60" s="757"/>
      <c r="M60" s="758"/>
      <c r="N60" s="758"/>
      <c r="O60" s="50"/>
      <c r="P60" s="50"/>
      <c r="Q60" s="745"/>
      <c r="R60" s="745"/>
      <c r="S60" s="50"/>
      <c r="T60" s="51"/>
      <c r="U60" s="52"/>
      <c r="V60" s="727"/>
      <c r="W60" s="727"/>
      <c r="X60" s="728"/>
      <c r="Z60" s="53"/>
    </row>
    <row r="61" spans="1:34" s="18" customFormat="1">
      <c r="A61" s="19"/>
      <c r="B61" s="709" t="s">
        <v>7</v>
      </c>
      <c r="C61" s="688" t="s">
        <v>82</v>
      </c>
      <c r="D61" s="746"/>
      <c r="E61" s="746"/>
      <c r="F61" s="746"/>
      <c r="G61" s="746"/>
      <c r="H61" s="710" t="str">
        <f>CONCATENATE("Criada pelo art. 7º, inciso XIX da CF, combinado com o art. 10, § 1º dos Atos das Disposições Constitucionais Transitórias - ADCT, a Licença Paternidade concede ao empregado o direito de ausentar-se do serviço por cinco dias quando do nascimento do filho.","Considera-se que ",Q67*100," % é média de trabalhadores que se tornam pais durante o ano. ","Dessa forma a provisão para este item corresponde a:")</f>
        <v>Criada pelo art. 7º, inciso XIX da CF, combinado com o art. 10, § 1º dos Atos das Disposições Constitucionais Transitórias - ADCT, a Licença Paternidade concede ao empregado o direito de ausentar-se do serviço por cinco dias quando do nascimento do filho.Considera-se que 1,5 % é média de trabalhadores que se tornam pais durante o ano. Dessa forma a provisão para este item corresponde a:</v>
      </c>
      <c r="I61" s="719"/>
      <c r="J61" s="719"/>
      <c r="K61" s="719"/>
      <c r="L61" s="719"/>
      <c r="M61" s="719"/>
      <c r="N61" s="719"/>
      <c r="O61" s="719"/>
      <c r="P61" s="719"/>
      <c r="Q61" s="719"/>
      <c r="R61" s="719"/>
      <c r="S61" s="719"/>
      <c r="T61" s="719"/>
      <c r="U61" s="720"/>
      <c r="V61" s="723">
        <f>(I67/K67/M67*Q67)</f>
        <v>2.0833333333333335E-4</v>
      </c>
      <c r="W61" s="723"/>
      <c r="X61" s="724"/>
      <c r="Y61" s="53"/>
      <c r="AA61" s="19"/>
      <c r="AB61" s="19"/>
      <c r="AC61" s="19"/>
      <c r="AD61" s="19"/>
      <c r="AE61" s="19"/>
      <c r="AF61" s="19"/>
      <c r="AG61" s="19"/>
      <c r="AH61" s="19"/>
    </row>
    <row r="62" spans="1:34" s="18" customFormat="1">
      <c r="A62" s="19"/>
      <c r="B62" s="709"/>
      <c r="C62" s="688"/>
      <c r="D62" s="746"/>
      <c r="E62" s="746"/>
      <c r="F62" s="746"/>
      <c r="G62" s="746"/>
      <c r="H62" s="713"/>
      <c r="I62" s="721"/>
      <c r="J62" s="721"/>
      <c r="K62" s="721"/>
      <c r="L62" s="721"/>
      <c r="M62" s="721"/>
      <c r="N62" s="721"/>
      <c r="O62" s="721"/>
      <c r="P62" s="721"/>
      <c r="Q62" s="721"/>
      <c r="R62" s="721"/>
      <c r="S62" s="721"/>
      <c r="T62" s="721"/>
      <c r="U62" s="722"/>
      <c r="V62" s="725"/>
      <c r="W62" s="725"/>
      <c r="X62" s="726"/>
      <c r="Y62" s="53"/>
      <c r="AA62" s="19"/>
      <c r="AB62" s="19"/>
      <c r="AC62" s="19"/>
      <c r="AD62" s="19"/>
      <c r="AE62" s="19"/>
      <c r="AF62" s="19"/>
      <c r="AG62" s="19"/>
      <c r="AH62" s="19"/>
    </row>
    <row r="63" spans="1:34" s="18" customFormat="1">
      <c r="A63" s="19"/>
      <c r="B63" s="709"/>
      <c r="C63" s="688"/>
      <c r="D63" s="746"/>
      <c r="E63" s="746"/>
      <c r="F63" s="746"/>
      <c r="G63" s="746"/>
      <c r="H63" s="713"/>
      <c r="I63" s="721"/>
      <c r="J63" s="721"/>
      <c r="K63" s="721"/>
      <c r="L63" s="721"/>
      <c r="M63" s="721"/>
      <c r="N63" s="721"/>
      <c r="O63" s="721"/>
      <c r="P63" s="721"/>
      <c r="Q63" s="721"/>
      <c r="R63" s="721"/>
      <c r="S63" s="721"/>
      <c r="T63" s="721"/>
      <c r="U63" s="722"/>
      <c r="V63" s="725"/>
      <c r="W63" s="725"/>
      <c r="X63" s="726"/>
      <c r="Y63" s="53"/>
      <c r="AA63" s="19"/>
      <c r="AB63" s="19"/>
      <c r="AC63" s="19"/>
      <c r="AD63" s="19"/>
      <c r="AE63" s="19"/>
      <c r="AF63" s="19"/>
      <c r="AG63" s="19"/>
      <c r="AH63" s="19"/>
    </row>
    <row r="64" spans="1:34" s="18" customFormat="1">
      <c r="A64" s="19"/>
      <c r="B64" s="709"/>
      <c r="C64" s="688"/>
      <c r="D64" s="746"/>
      <c r="E64" s="746"/>
      <c r="F64" s="746"/>
      <c r="G64" s="746"/>
      <c r="H64" s="713"/>
      <c r="I64" s="721"/>
      <c r="J64" s="721"/>
      <c r="K64" s="721"/>
      <c r="L64" s="721"/>
      <c r="M64" s="721"/>
      <c r="N64" s="721"/>
      <c r="O64" s="721"/>
      <c r="P64" s="721"/>
      <c r="Q64" s="721"/>
      <c r="R64" s="721"/>
      <c r="S64" s="721"/>
      <c r="T64" s="721"/>
      <c r="U64" s="722"/>
      <c r="V64" s="725"/>
      <c r="W64" s="725"/>
      <c r="X64" s="726"/>
      <c r="Y64" s="53"/>
      <c r="AA64" s="19"/>
      <c r="AB64" s="19"/>
      <c r="AC64" s="19"/>
      <c r="AD64" s="19"/>
      <c r="AE64" s="19"/>
      <c r="AF64" s="19"/>
      <c r="AG64" s="19"/>
      <c r="AH64" s="19"/>
    </row>
    <row r="65" spans="1:34" s="18" customFormat="1">
      <c r="A65" s="19"/>
      <c r="B65" s="709"/>
      <c r="C65" s="688"/>
      <c r="D65" s="746"/>
      <c r="E65" s="746"/>
      <c r="F65" s="746"/>
      <c r="G65" s="746"/>
      <c r="H65" s="713"/>
      <c r="I65" s="721"/>
      <c r="J65" s="721"/>
      <c r="K65" s="721"/>
      <c r="L65" s="721"/>
      <c r="M65" s="721"/>
      <c r="N65" s="721"/>
      <c r="O65" s="721"/>
      <c r="P65" s="721"/>
      <c r="Q65" s="721"/>
      <c r="R65" s="721"/>
      <c r="S65" s="721"/>
      <c r="T65" s="721"/>
      <c r="U65" s="722"/>
      <c r="V65" s="725"/>
      <c r="W65" s="725"/>
      <c r="X65" s="726"/>
      <c r="Y65" s="53"/>
      <c r="AA65" s="19"/>
      <c r="AB65" s="19"/>
      <c r="AC65" s="19"/>
      <c r="AD65" s="19"/>
      <c r="AE65" s="19"/>
      <c r="AF65" s="19"/>
      <c r="AG65" s="19"/>
      <c r="AH65" s="19"/>
    </row>
    <row r="66" spans="1:34" s="18" customFormat="1">
      <c r="A66" s="19"/>
      <c r="B66" s="709"/>
      <c r="C66" s="688"/>
      <c r="D66" s="746"/>
      <c r="E66" s="746"/>
      <c r="F66" s="746"/>
      <c r="G66" s="746"/>
      <c r="H66" s="713"/>
      <c r="I66" s="721"/>
      <c r="J66" s="721"/>
      <c r="K66" s="721"/>
      <c r="L66" s="721"/>
      <c r="M66" s="721"/>
      <c r="N66" s="721"/>
      <c r="O66" s="721"/>
      <c r="P66" s="721"/>
      <c r="Q66" s="721"/>
      <c r="R66" s="721"/>
      <c r="S66" s="721"/>
      <c r="T66" s="721"/>
      <c r="U66" s="722"/>
      <c r="V66" s="725"/>
      <c r="W66" s="725"/>
      <c r="X66" s="726"/>
      <c r="Y66" s="53"/>
      <c r="AA66" s="19"/>
      <c r="AB66" s="19"/>
      <c r="AC66" s="19"/>
      <c r="AD66" s="19"/>
      <c r="AE66" s="19"/>
      <c r="AF66" s="19"/>
      <c r="AG66" s="19"/>
      <c r="AH66" s="19"/>
    </row>
    <row r="67" spans="1:34" s="18" customFormat="1" ht="23.25" customHeight="1">
      <c r="A67" s="19"/>
      <c r="B67" s="709"/>
      <c r="C67" s="747"/>
      <c r="D67" s="748"/>
      <c r="E67" s="748"/>
      <c r="F67" s="748"/>
      <c r="G67" s="748"/>
      <c r="H67" s="75" t="s">
        <v>168</v>
      </c>
      <c r="I67" s="463">
        <v>5</v>
      </c>
      <c r="J67" s="27" t="s">
        <v>159</v>
      </c>
      <c r="K67" s="464">
        <v>12</v>
      </c>
      <c r="L67" s="27" t="s">
        <v>159</v>
      </c>
      <c r="M67" s="464">
        <v>30</v>
      </c>
      <c r="N67" s="27" t="s">
        <v>169</v>
      </c>
      <c r="O67" s="21" t="s">
        <v>161</v>
      </c>
      <c r="P67" s="27" t="s">
        <v>168</v>
      </c>
      <c r="Q67" s="729">
        <v>1.4999999999999999E-2</v>
      </c>
      <c r="R67" s="729"/>
      <c r="S67" s="27" t="s">
        <v>169</v>
      </c>
      <c r="T67" s="22"/>
      <c r="U67" s="23"/>
      <c r="V67" s="727"/>
      <c r="W67" s="727"/>
      <c r="X67" s="728"/>
      <c r="Y67" s="53"/>
      <c r="AA67" s="19"/>
      <c r="AB67" s="19"/>
      <c r="AC67" s="19"/>
      <c r="AD67" s="19"/>
      <c r="AE67" s="19"/>
      <c r="AF67" s="19"/>
      <c r="AG67" s="19"/>
      <c r="AH67" s="19"/>
    </row>
    <row r="68" spans="1:34" s="18" customFormat="1">
      <c r="A68" s="19"/>
      <c r="B68" s="709" t="s">
        <v>8</v>
      </c>
      <c r="C68" s="741" t="s">
        <v>144</v>
      </c>
      <c r="D68" s="742"/>
      <c r="E68" s="742"/>
      <c r="F68" s="742"/>
      <c r="G68" s="742"/>
      <c r="H68" s="710" t="str">
        <f>CONCATENATE("Ausências ao trabalho asseguradas ao empregado pelos artigos 473 e 822 da CLT, Art. 430 do CPP, art. 419, parágrafo único do CPC, e Súmula nº 155 do TST"," (morte de cônjuge, ascendente, descendente, casamento, nascimento de filho, doação de sangue, alistamento eleitoral, serviço militar, comparecer à Juízo).","Assim considerou-se em média ",I72," ausência por trabalhador no ano:")</f>
        <v>Ausências ao trabalho asseguradas ao empregado pelos artigos 473 e 822 da CLT, Art. 430 do CPP, art. 419, parágrafo único do CPC, e Súmula nº 155 do TST (morte de cônjuge, ascendente, descendente, casamento, nascimento de filho, doação de sangue, alistamento eleitoral, serviço militar, comparecer à Juízo).Assim considerou-se em média 1 ausência por trabalhador no ano:</v>
      </c>
      <c r="I68" s="719"/>
      <c r="J68" s="719"/>
      <c r="K68" s="719"/>
      <c r="L68" s="719"/>
      <c r="M68" s="719"/>
      <c r="N68" s="719"/>
      <c r="O68" s="719"/>
      <c r="P68" s="719"/>
      <c r="Q68" s="719"/>
      <c r="R68" s="719"/>
      <c r="S68" s="719"/>
      <c r="T68" s="719"/>
      <c r="U68" s="720"/>
      <c r="V68" s="723">
        <f>I72/K72/M72</f>
        <v>2.7777777777777775E-3</v>
      </c>
      <c r="W68" s="723"/>
      <c r="X68" s="724"/>
      <c r="Y68" s="53"/>
      <c r="AA68" s="19"/>
      <c r="AB68" s="19"/>
      <c r="AC68" s="19"/>
      <c r="AD68" s="19"/>
      <c r="AE68" s="19"/>
      <c r="AF68" s="19"/>
      <c r="AG68" s="19"/>
      <c r="AH68" s="19"/>
    </row>
    <row r="69" spans="1:34" s="18" customFormat="1">
      <c r="A69" s="19"/>
      <c r="B69" s="709"/>
      <c r="C69" s="741"/>
      <c r="D69" s="742"/>
      <c r="E69" s="742"/>
      <c r="F69" s="742"/>
      <c r="G69" s="742"/>
      <c r="H69" s="713"/>
      <c r="I69" s="721"/>
      <c r="J69" s="721"/>
      <c r="K69" s="721"/>
      <c r="L69" s="721"/>
      <c r="M69" s="721"/>
      <c r="N69" s="721"/>
      <c r="O69" s="721"/>
      <c r="P69" s="721"/>
      <c r="Q69" s="721"/>
      <c r="R69" s="721"/>
      <c r="S69" s="721"/>
      <c r="T69" s="721"/>
      <c r="U69" s="722"/>
      <c r="V69" s="725"/>
      <c r="W69" s="725"/>
      <c r="X69" s="726"/>
      <c r="Y69" s="53"/>
      <c r="AA69" s="19"/>
      <c r="AB69" s="19"/>
      <c r="AC69" s="19"/>
      <c r="AD69" s="19"/>
      <c r="AE69" s="19"/>
      <c r="AF69" s="19"/>
      <c r="AG69" s="19"/>
      <c r="AH69" s="19"/>
    </row>
    <row r="70" spans="1:34" s="18" customFormat="1">
      <c r="A70" s="19"/>
      <c r="B70" s="709"/>
      <c r="C70" s="741"/>
      <c r="D70" s="742"/>
      <c r="E70" s="742"/>
      <c r="F70" s="742"/>
      <c r="G70" s="742"/>
      <c r="H70" s="713"/>
      <c r="I70" s="721"/>
      <c r="J70" s="721"/>
      <c r="K70" s="721"/>
      <c r="L70" s="721"/>
      <c r="M70" s="721"/>
      <c r="N70" s="721"/>
      <c r="O70" s="721"/>
      <c r="P70" s="721"/>
      <c r="Q70" s="721"/>
      <c r="R70" s="721"/>
      <c r="S70" s="721"/>
      <c r="T70" s="721"/>
      <c r="U70" s="722"/>
      <c r="V70" s="725"/>
      <c r="W70" s="725"/>
      <c r="X70" s="726"/>
      <c r="Y70" s="53"/>
      <c r="AA70" s="19"/>
      <c r="AB70" s="19"/>
      <c r="AC70" s="19"/>
      <c r="AD70" s="19"/>
      <c r="AE70" s="19"/>
      <c r="AF70" s="19"/>
      <c r="AG70" s="19"/>
      <c r="AH70" s="19"/>
    </row>
    <row r="71" spans="1:34" s="18" customFormat="1" ht="36" customHeight="1">
      <c r="A71" s="19"/>
      <c r="B71" s="709"/>
      <c r="C71" s="741"/>
      <c r="D71" s="742"/>
      <c r="E71" s="742"/>
      <c r="F71" s="742"/>
      <c r="G71" s="742"/>
      <c r="H71" s="713"/>
      <c r="I71" s="721"/>
      <c r="J71" s="721"/>
      <c r="K71" s="721"/>
      <c r="L71" s="721"/>
      <c r="M71" s="721"/>
      <c r="N71" s="721"/>
      <c r="O71" s="721"/>
      <c r="P71" s="721"/>
      <c r="Q71" s="721"/>
      <c r="R71" s="721"/>
      <c r="S71" s="721"/>
      <c r="T71" s="721"/>
      <c r="U71" s="722"/>
      <c r="V71" s="725"/>
      <c r="W71" s="725"/>
      <c r="X71" s="726"/>
      <c r="Y71" s="53"/>
      <c r="AA71" s="19"/>
      <c r="AB71" s="19"/>
      <c r="AC71" s="19"/>
      <c r="AD71" s="19"/>
      <c r="AE71" s="19"/>
      <c r="AF71" s="19"/>
      <c r="AG71" s="19"/>
      <c r="AH71" s="19"/>
    </row>
    <row r="72" spans="1:34" s="18" customFormat="1" ht="24" customHeight="1">
      <c r="A72" s="19"/>
      <c r="B72" s="709"/>
      <c r="C72" s="743"/>
      <c r="D72" s="744"/>
      <c r="E72" s="744"/>
      <c r="F72" s="744"/>
      <c r="G72" s="744"/>
      <c r="H72" s="75" t="s">
        <v>168</v>
      </c>
      <c r="I72" s="463">
        <v>1</v>
      </c>
      <c r="J72" s="27" t="s">
        <v>159</v>
      </c>
      <c r="K72" s="464">
        <v>12</v>
      </c>
      <c r="L72" s="27" t="s">
        <v>159</v>
      </c>
      <c r="M72" s="464">
        <v>30</v>
      </c>
      <c r="N72" s="27" t="s">
        <v>169</v>
      </c>
      <c r="O72" s="21"/>
      <c r="P72" s="21"/>
      <c r="Q72" s="21"/>
      <c r="R72" s="21"/>
      <c r="S72" s="21"/>
      <c r="T72" s="22"/>
      <c r="U72" s="23"/>
      <c r="V72" s="727"/>
      <c r="W72" s="727"/>
      <c r="X72" s="728"/>
      <c r="Y72" s="53"/>
      <c r="AA72" s="19"/>
      <c r="AB72" s="19"/>
      <c r="AC72" s="19"/>
      <c r="AD72" s="19"/>
      <c r="AE72" s="19"/>
      <c r="AF72" s="19"/>
      <c r="AG72" s="19"/>
      <c r="AH72" s="19"/>
    </row>
    <row r="73" spans="1:34" s="18" customFormat="1" ht="15.75" customHeight="1">
      <c r="A73" s="19"/>
      <c r="B73" s="709" t="s">
        <v>9</v>
      </c>
      <c r="C73" s="710" t="s">
        <v>83</v>
      </c>
      <c r="D73" s="711"/>
      <c r="E73" s="711"/>
      <c r="F73" s="711"/>
      <c r="G73" s="712"/>
      <c r="H73" s="710" t="str">
        <f>CONCATENATE("Fundamento Legal :Artigos, 7º, XXI, da CF/88, Arts. 477, 487, 488 e 491 da CLT. Essa rubrica refere-se ao provisionamento a ser pago à empresa para que a mesma substitua o empregado que esteja cumprindo aviso prévio e sofra redução de 2 (duas)"," horas diárias em sua jornada de trabalho no mês de aviso prévio, ou opte por faltar ao serviço por 7 (sete) dias corridos, no caso de o empregador rescindir o contrato sem justo motivo e conceder aviso prévio."," Estima-se em: ",Q79*100," % a estatística anual de empregados que recebem aviso prévio trabalhado.""")</f>
        <v>Fundamento Legal :Artigos, 7º, XXI, da CF/88, Arts. 477, 487, 488 e 491 da CLT. Essa rubrica refere-se ao provisionamento a ser pago à empresa para que a mesma substitua o empregado que esteja cumprindo aviso prévio e sofra redução de 2 (duas) horas diárias em sua jornada de trabalho no mês de aviso prévio, ou opte por faltar ao serviço por 7 (sete) dias corridos, no caso de o empregador rescindir o contrato sem justo motivo e conceder aviso prévio. Estima-se em: 5 % a estatística anual de empregados que recebem aviso prévio trabalhado."</v>
      </c>
      <c r="I73" s="719"/>
      <c r="J73" s="719"/>
      <c r="K73" s="719"/>
      <c r="L73" s="719"/>
      <c r="M73" s="719"/>
      <c r="N73" s="719"/>
      <c r="O73" s="719"/>
      <c r="P73" s="719"/>
      <c r="Q73" s="719"/>
      <c r="R73" s="719"/>
      <c r="S73" s="719"/>
      <c r="T73" s="719"/>
      <c r="U73" s="720"/>
      <c r="V73" s="723">
        <f>(I79/K79/M79*Q79)</f>
        <v>9.722222222222223E-4</v>
      </c>
      <c r="W73" s="723"/>
      <c r="X73" s="724"/>
      <c r="Y73" s="53"/>
      <c r="AA73" s="19"/>
      <c r="AB73" s="19"/>
      <c r="AC73" s="19"/>
      <c r="AD73" s="19"/>
      <c r="AE73" s="19"/>
      <c r="AF73" s="19"/>
      <c r="AG73" s="19"/>
      <c r="AH73" s="19"/>
    </row>
    <row r="74" spans="1:34" s="18" customFormat="1">
      <c r="A74" s="19"/>
      <c r="B74" s="709"/>
      <c r="C74" s="713"/>
      <c r="D74" s="714"/>
      <c r="E74" s="714"/>
      <c r="F74" s="714"/>
      <c r="G74" s="715"/>
      <c r="H74" s="713"/>
      <c r="I74" s="721"/>
      <c r="J74" s="721"/>
      <c r="K74" s="721"/>
      <c r="L74" s="721"/>
      <c r="M74" s="721"/>
      <c r="N74" s="721"/>
      <c r="O74" s="721"/>
      <c r="P74" s="721"/>
      <c r="Q74" s="721"/>
      <c r="R74" s="721"/>
      <c r="S74" s="721"/>
      <c r="T74" s="721"/>
      <c r="U74" s="722"/>
      <c r="V74" s="725"/>
      <c r="W74" s="725"/>
      <c r="X74" s="726"/>
      <c r="Y74" s="53"/>
      <c r="AA74" s="19"/>
      <c r="AB74" s="19"/>
      <c r="AC74" s="19"/>
      <c r="AD74" s="19"/>
      <c r="AE74" s="19"/>
      <c r="AF74" s="19"/>
      <c r="AG74" s="19"/>
      <c r="AH74" s="19"/>
    </row>
    <row r="75" spans="1:34" s="18" customFormat="1">
      <c r="A75" s="19"/>
      <c r="B75" s="709"/>
      <c r="C75" s="713"/>
      <c r="D75" s="714"/>
      <c r="E75" s="714"/>
      <c r="F75" s="714"/>
      <c r="G75" s="715"/>
      <c r="H75" s="713"/>
      <c r="I75" s="721"/>
      <c r="J75" s="721"/>
      <c r="K75" s="721"/>
      <c r="L75" s="721"/>
      <c r="M75" s="721"/>
      <c r="N75" s="721"/>
      <c r="O75" s="721"/>
      <c r="P75" s="721"/>
      <c r="Q75" s="721"/>
      <c r="R75" s="721"/>
      <c r="S75" s="721"/>
      <c r="T75" s="721"/>
      <c r="U75" s="722"/>
      <c r="V75" s="725"/>
      <c r="W75" s="725"/>
      <c r="X75" s="726"/>
      <c r="Y75" s="53"/>
      <c r="AA75" s="19"/>
      <c r="AB75" s="19"/>
      <c r="AC75" s="19"/>
      <c r="AD75" s="19"/>
      <c r="AE75" s="19"/>
      <c r="AF75" s="19"/>
      <c r="AG75" s="19"/>
      <c r="AH75" s="19"/>
    </row>
    <row r="76" spans="1:34" s="18" customFormat="1">
      <c r="A76" s="19"/>
      <c r="B76" s="709"/>
      <c r="C76" s="713"/>
      <c r="D76" s="714"/>
      <c r="E76" s="714"/>
      <c r="F76" s="714"/>
      <c r="G76" s="715"/>
      <c r="H76" s="713"/>
      <c r="I76" s="721"/>
      <c r="J76" s="721"/>
      <c r="K76" s="721"/>
      <c r="L76" s="721"/>
      <c r="M76" s="721"/>
      <c r="N76" s="721"/>
      <c r="O76" s="721"/>
      <c r="P76" s="721"/>
      <c r="Q76" s="721"/>
      <c r="R76" s="721"/>
      <c r="S76" s="721"/>
      <c r="T76" s="721"/>
      <c r="U76" s="722"/>
      <c r="V76" s="725"/>
      <c r="W76" s="725"/>
      <c r="X76" s="726"/>
      <c r="Y76" s="53"/>
      <c r="AA76" s="19"/>
      <c r="AB76" s="19"/>
      <c r="AC76" s="19"/>
      <c r="AD76" s="19"/>
      <c r="AE76" s="19"/>
      <c r="AF76" s="19"/>
      <c r="AG76" s="19"/>
      <c r="AH76" s="19"/>
    </row>
    <row r="77" spans="1:34" s="18" customFormat="1">
      <c r="A77" s="19"/>
      <c r="B77" s="709"/>
      <c r="C77" s="713"/>
      <c r="D77" s="714"/>
      <c r="E77" s="714"/>
      <c r="F77" s="714"/>
      <c r="G77" s="715"/>
      <c r="H77" s="713"/>
      <c r="I77" s="721"/>
      <c r="J77" s="721"/>
      <c r="K77" s="721"/>
      <c r="L77" s="721"/>
      <c r="M77" s="721"/>
      <c r="N77" s="721"/>
      <c r="O77" s="721"/>
      <c r="P77" s="721"/>
      <c r="Q77" s="721"/>
      <c r="R77" s="721"/>
      <c r="S77" s="721"/>
      <c r="T77" s="721"/>
      <c r="U77" s="722"/>
      <c r="V77" s="725"/>
      <c r="W77" s="725"/>
      <c r="X77" s="726"/>
      <c r="Y77" s="53"/>
      <c r="AA77" s="19"/>
      <c r="AB77" s="19"/>
      <c r="AC77" s="19"/>
      <c r="AD77" s="19"/>
      <c r="AE77" s="19"/>
      <c r="AF77" s="19"/>
      <c r="AG77" s="19"/>
      <c r="AH77" s="19"/>
    </row>
    <row r="78" spans="1:34" s="18" customFormat="1" ht="33" customHeight="1">
      <c r="A78" s="19"/>
      <c r="B78" s="709"/>
      <c r="C78" s="713"/>
      <c r="D78" s="714"/>
      <c r="E78" s="714"/>
      <c r="F78" s="714"/>
      <c r="G78" s="715"/>
      <c r="H78" s="713"/>
      <c r="I78" s="721"/>
      <c r="J78" s="721"/>
      <c r="K78" s="721"/>
      <c r="L78" s="721"/>
      <c r="M78" s="721"/>
      <c r="N78" s="721"/>
      <c r="O78" s="721"/>
      <c r="P78" s="721"/>
      <c r="Q78" s="721"/>
      <c r="R78" s="721"/>
      <c r="S78" s="721"/>
      <c r="T78" s="721"/>
      <c r="U78" s="722"/>
      <c r="V78" s="725"/>
      <c r="W78" s="725"/>
      <c r="X78" s="726"/>
      <c r="Y78" s="53"/>
      <c r="AA78" s="19"/>
      <c r="AB78" s="19"/>
      <c r="AC78" s="19"/>
      <c r="AD78" s="19"/>
      <c r="AE78" s="19"/>
      <c r="AF78" s="19"/>
      <c r="AG78" s="19"/>
      <c r="AH78" s="19"/>
    </row>
    <row r="79" spans="1:34" s="18" customFormat="1">
      <c r="A79" s="19"/>
      <c r="B79" s="709"/>
      <c r="C79" s="716"/>
      <c r="D79" s="717"/>
      <c r="E79" s="717"/>
      <c r="F79" s="717"/>
      <c r="G79" s="718"/>
      <c r="H79" s="75" t="s">
        <v>168</v>
      </c>
      <c r="I79" s="463">
        <v>7</v>
      </c>
      <c r="J79" s="27" t="s">
        <v>159</v>
      </c>
      <c r="K79" s="464">
        <v>12</v>
      </c>
      <c r="L79" s="27" t="s">
        <v>159</v>
      </c>
      <c r="M79" s="464">
        <v>30</v>
      </c>
      <c r="N79" s="27" t="s">
        <v>169</v>
      </c>
      <c r="O79" s="27" t="s">
        <v>161</v>
      </c>
      <c r="P79" s="27" t="s">
        <v>168</v>
      </c>
      <c r="Q79" s="729">
        <v>0.05</v>
      </c>
      <c r="R79" s="729"/>
      <c r="S79" s="27" t="s">
        <v>169</v>
      </c>
      <c r="T79" s="22"/>
      <c r="U79" s="23"/>
      <c r="V79" s="727"/>
      <c r="W79" s="727"/>
      <c r="X79" s="728"/>
      <c r="Y79" s="53"/>
      <c r="AA79" s="19"/>
      <c r="AB79" s="19"/>
      <c r="AC79" s="19"/>
      <c r="AD79" s="19"/>
      <c r="AE79" s="19"/>
      <c r="AF79" s="19"/>
      <c r="AG79" s="19"/>
      <c r="AH79" s="19"/>
    </row>
    <row r="80" spans="1:34" s="18" customFormat="1">
      <c r="A80" s="19"/>
      <c r="C80" s="730" t="s">
        <v>190</v>
      </c>
      <c r="D80" s="731"/>
      <c r="E80" s="731"/>
      <c r="F80" s="731"/>
      <c r="G80" s="731"/>
      <c r="H80" s="731"/>
      <c r="I80" s="731"/>
      <c r="J80" s="731"/>
      <c r="K80" s="731"/>
      <c r="L80" s="731"/>
      <c r="M80" s="731"/>
      <c r="N80" s="731"/>
      <c r="O80" s="731"/>
      <c r="P80" s="731"/>
      <c r="Q80" s="731"/>
      <c r="R80" s="731"/>
      <c r="S80" s="731"/>
      <c r="T80" s="731"/>
      <c r="U80" s="731"/>
      <c r="V80" s="732">
        <f>SUM(V57:X79)</f>
        <v>8.729166666666667E-2</v>
      </c>
      <c r="W80" s="733"/>
      <c r="X80" s="733"/>
      <c r="Y80" s="53"/>
      <c r="AA80" s="19"/>
      <c r="AB80" s="19"/>
      <c r="AC80" s="19"/>
      <c r="AD80" s="19"/>
      <c r="AE80" s="19"/>
      <c r="AF80" s="19"/>
      <c r="AG80" s="19"/>
      <c r="AH80" s="19"/>
    </row>
    <row r="81" spans="1:34" s="18" customFormat="1" ht="18" customHeight="1">
      <c r="A81" s="19"/>
      <c r="B81" s="70" t="s">
        <v>10</v>
      </c>
      <c r="C81" s="734" t="s">
        <v>191</v>
      </c>
      <c r="D81" s="735"/>
      <c r="E81" s="735"/>
      <c r="F81" s="735"/>
      <c r="G81" s="735"/>
      <c r="H81" s="735"/>
      <c r="I81" s="735"/>
      <c r="J81" s="735"/>
      <c r="K81" s="735"/>
      <c r="L81" s="735"/>
      <c r="M81" s="735"/>
      <c r="N81" s="735"/>
      <c r="O81" s="735"/>
      <c r="P81" s="735"/>
      <c r="Q81" s="672">
        <f>V13</f>
        <v>0.34800000000000009</v>
      </c>
      <c r="R81" s="736"/>
      <c r="S81" s="30" t="s">
        <v>161</v>
      </c>
      <c r="T81" s="737">
        <f>V80</f>
        <v>8.729166666666667E-2</v>
      </c>
      <c r="U81" s="738"/>
      <c r="V81" s="674">
        <f>(Q81*T81)</f>
        <v>3.0377500000000009E-2</v>
      </c>
      <c r="W81" s="739"/>
      <c r="X81" s="740"/>
      <c r="Y81" s="53"/>
      <c r="AA81" s="19"/>
      <c r="AB81" s="19"/>
      <c r="AC81" s="19"/>
      <c r="AD81" s="19"/>
      <c r="AE81" s="19"/>
      <c r="AF81" s="19"/>
      <c r="AG81" s="19"/>
      <c r="AH81" s="19"/>
    </row>
    <row r="82" spans="1:34" s="18" customFormat="1" ht="18" customHeight="1">
      <c r="A82" s="19"/>
      <c r="B82" s="682" t="s">
        <v>11</v>
      </c>
      <c r="C82" s="685" t="s">
        <v>192</v>
      </c>
      <c r="D82" s="686"/>
      <c r="E82" s="686"/>
      <c r="F82" s="686"/>
      <c r="G82" s="687"/>
      <c r="H82" s="694" t="str">
        <f>CONCATENATE("Esta parcela refere-se aos dias em que o empregado fica doente e a contratada deve providenciar sua substituição. Estimamos em ",I87," ausências ao ano por trabalhador, devendo-se converter esses dias em mês e depois dividi-lo pelo número de meses no ano."," Fundamento Legal: Artigos 59 a 64 da Lei n.º 8.213/1991 e Arts. 71 a 80 do Decreto nº 3.048/99 (Regul. Previdência Social).")</f>
        <v>Esta parcela refere-se aos dias em que o empregado fica doente e a contratada deve providenciar sua substituição. Estimamos em 4,14 ausências ao ano por trabalhador, devendo-se converter esses dias em mês e depois dividi-lo pelo número de meses no ano. Fundamento Legal: Artigos 59 a 64 da Lei n.º 8.213/1991 e Arts. 71 a 80 do Decreto nº 3.048/99 (Regul. Previdência Social).</v>
      </c>
      <c r="I82" s="695"/>
      <c r="J82" s="695"/>
      <c r="K82" s="695"/>
      <c r="L82" s="695"/>
      <c r="M82" s="695"/>
      <c r="N82" s="695"/>
      <c r="O82" s="695"/>
      <c r="P82" s="695"/>
      <c r="Q82" s="695"/>
      <c r="R82" s="695"/>
      <c r="S82" s="695"/>
      <c r="T82" s="695"/>
      <c r="U82" s="696"/>
      <c r="V82" s="700">
        <f>(I87/K87/M87)</f>
        <v>1.1499999999999998E-2</v>
      </c>
      <c r="W82" s="701"/>
      <c r="X82" s="702"/>
      <c r="Y82" s="53"/>
      <c r="AA82" s="19"/>
      <c r="AB82" s="19"/>
      <c r="AC82" s="19"/>
      <c r="AD82" s="19"/>
      <c r="AE82" s="19"/>
      <c r="AF82" s="19"/>
      <c r="AG82" s="19"/>
      <c r="AH82" s="19"/>
    </row>
    <row r="83" spans="1:34" s="18" customFormat="1" ht="18" customHeight="1">
      <c r="A83" s="19"/>
      <c r="B83" s="683"/>
      <c r="C83" s="688"/>
      <c r="D83" s="689"/>
      <c r="E83" s="689"/>
      <c r="F83" s="689"/>
      <c r="G83" s="690"/>
      <c r="H83" s="697"/>
      <c r="I83" s="698"/>
      <c r="J83" s="698"/>
      <c r="K83" s="698"/>
      <c r="L83" s="698"/>
      <c r="M83" s="698"/>
      <c r="N83" s="698"/>
      <c r="O83" s="698"/>
      <c r="P83" s="698"/>
      <c r="Q83" s="698"/>
      <c r="R83" s="698"/>
      <c r="S83" s="698"/>
      <c r="T83" s="698"/>
      <c r="U83" s="699"/>
      <c r="V83" s="703"/>
      <c r="W83" s="704"/>
      <c r="X83" s="705"/>
      <c r="Y83" s="53"/>
      <c r="AA83" s="19"/>
      <c r="AB83" s="19"/>
      <c r="AC83" s="19"/>
      <c r="AD83" s="19"/>
      <c r="AE83" s="19"/>
      <c r="AF83" s="19"/>
      <c r="AG83" s="19"/>
      <c r="AH83" s="19"/>
    </row>
    <row r="84" spans="1:34" s="18" customFormat="1" ht="18" customHeight="1">
      <c r="A84" s="19"/>
      <c r="B84" s="683"/>
      <c r="C84" s="688"/>
      <c r="D84" s="689"/>
      <c r="E84" s="689"/>
      <c r="F84" s="689"/>
      <c r="G84" s="690"/>
      <c r="H84" s="697"/>
      <c r="I84" s="698"/>
      <c r="J84" s="698"/>
      <c r="K84" s="698"/>
      <c r="L84" s="698"/>
      <c r="M84" s="698"/>
      <c r="N84" s="698"/>
      <c r="O84" s="698"/>
      <c r="P84" s="698"/>
      <c r="Q84" s="698"/>
      <c r="R84" s="698"/>
      <c r="S84" s="698"/>
      <c r="T84" s="698"/>
      <c r="U84" s="699"/>
      <c r="V84" s="703"/>
      <c r="W84" s="704"/>
      <c r="X84" s="705"/>
      <c r="Y84" s="53"/>
      <c r="AA84" s="19"/>
      <c r="AB84" s="19"/>
      <c r="AC84" s="19"/>
      <c r="AD84" s="19"/>
      <c r="AE84" s="19"/>
      <c r="AF84" s="19"/>
      <c r="AG84" s="19"/>
      <c r="AH84" s="19"/>
    </row>
    <row r="85" spans="1:34" s="18" customFormat="1" ht="18" customHeight="1">
      <c r="A85" s="19"/>
      <c r="B85" s="683"/>
      <c r="C85" s="688"/>
      <c r="D85" s="689"/>
      <c r="E85" s="689"/>
      <c r="F85" s="689"/>
      <c r="G85" s="690"/>
      <c r="H85" s="697"/>
      <c r="I85" s="698"/>
      <c r="J85" s="698"/>
      <c r="K85" s="698"/>
      <c r="L85" s="698"/>
      <c r="M85" s="698"/>
      <c r="N85" s="698"/>
      <c r="O85" s="698"/>
      <c r="P85" s="698"/>
      <c r="Q85" s="698"/>
      <c r="R85" s="698"/>
      <c r="S85" s="698"/>
      <c r="T85" s="698"/>
      <c r="U85" s="699"/>
      <c r="V85" s="703"/>
      <c r="W85" s="704"/>
      <c r="X85" s="705"/>
      <c r="Y85" s="53"/>
      <c r="AA85" s="19"/>
      <c r="AB85" s="19"/>
      <c r="AC85" s="19"/>
      <c r="AD85" s="19"/>
      <c r="AE85" s="19"/>
      <c r="AF85" s="19"/>
      <c r="AG85" s="19"/>
      <c r="AH85" s="19"/>
    </row>
    <row r="86" spans="1:34" s="18" customFormat="1" ht="18" customHeight="1">
      <c r="A86" s="19"/>
      <c r="B86" s="683"/>
      <c r="C86" s="688"/>
      <c r="D86" s="689"/>
      <c r="E86" s="689"/>
      <c r="F86" s="689"/>
      <c r="G86" s="690"/>
      <c r="H86" s="697"/>
      <c r="I86" s="698"/>
      <c r="J86" s="698"/>
      <c r="K86" s="698"/>
      <c r="L86" s="698"/>
      <c r="M86" s="698"/>
      <c r="N86" s="698"/>
      <c r="O86" s="698"/>
      <c r="P86" s="698"/>
      <c r="Q86" s="698"/>
      <c r="R86" s="698"/>
      <c r="S86" s="698"/>
      <c r="T86" s="698"/>
      <c r="U86" s="699"/>
      <c r="V86" s="703"/>
      <c r="W86" s="704"/>
      <c r="X86" s="705"/>
      <c r="Y86" s="53"/>
      <c r="AA86" s="19"/>
      <c r="AB86" s="19"/>
      <c r="AC86" s="19"/>
      <c r="AD86" s="19"/>
      <c r="AE86" s="19"/>
      <c r="AF86" s="19"/>
      <c r="AG86" s="19"/>
      <c r="AH86" s="19"/>
    </row>
    <row r="87" spans="1:34" s="18" customFormat="1" ht="18" customHeight="1">
      <c r="A87" s="19"/>
      <c r="B87" s="684"/>
      <c r="C87" s="691"/>
      <c r="D87" s="692"/>
      <c r="E87" s="692"/>
      <c r="F87" s="692"/>
      <c r="G87" s="693"/>
      <c r="H87" s="75" t="s">
        <v>168</v>
      </c>
      <c r="I87" s="468">
        <v>4.1399999999999997</v>
      </c>
      <c r="J87" s="27" t="s">
        <v>159</v>
      </c>
      <c r="K87" s="464">
        <v>30</v>
      </c>
      <c r="L87" s="27" t="s">
        <v>159</v>
      </c>
      <c r="M87" s="464">
        <v>12</v>
      </c>
      <c r="N87" s="27" t="s">
        <v>169</v>
      </c>
      <c r="O87" s="21"/>
      <c r="P87" s="21"/>
      <c r="Q87" s="21"/>
      <c r="R87" s="21"/>
      <c r="S87" s="21"/>
      <c r="T87" s="22"/>
      <c r="U87" s="23"/>
      <c r="V87" s="706"/>
      <c r="W87" s="707"/>
      <c r="X87" s="708"/>
      <c r="Y87" s="53"/>
      <c r="AA87" s="19"/>
      <c r="AB87" s="19"/>
      <c r="AC87" s="19"/>
      <c r="AD87" s="19"/>
      <c r="AE87" s="19"/>
      <c r="AF87" s="19"/>
      <c r="AG87" s="19"/>
      <c r="AH87" s="19"/>
    </row>
    <row r="88" spans="1:34" s="18" customFormat="1" ht="18" customHeight="1">
      <c r="A88" s="19"/>
      <c r="B88" s="709" t="s">
        <v>12</v>
      </c>
      <c r="C88" s="710" t="s">
        <v>193</v>
      </c>
      <c r="D88" s="711"/>
      <c r="E88" s="711"/>
      <c r="F88" s="711"/>
      <c r="G88" s="712"/>
      <c r="H88" s="710" t="str">
        <f>CONCATENATE("A Lei nº 8.213/1991 (Arts. 19 a 23 e 60), obriga o empregador a assumir ônus financeiro pelo prazo de 15 dias, no caso de acidente de trabalho.","Estima-se em ",Q92*100," % a média de trabalhadores que sofrem acidente durante o ano.")</f>
        <v>A Lei nº 8.213/1991 (Arts. 19 a 23 e 60), obriga o empregador a assumir ônus financeiro pelo prazo de 15 dias, no caso de acidente de trabalho.Estima-se em 8 % a média de trabalhadores que sofrem acidente durante o ano.</v>
      </c>
      <c r="I88" s="719"/>
      <c r="J88" s="719"/>
      <c r="K88" s="719"/>
      <c r="L88" s="719"/>
      <c r="M88" s="719"/>
      <c r="N88" s="719"/>
      <c r="O88" s="719"/>
      <c r="P88" s="719"/>
      <c r="Q88" s="719"/>
      <c r="R88" s="719"/>
      <c r="S88" s="719"/>
      <c r="T88" s="719"/>
      <c r="U88" s="720"/>
      <c r="V88" s="723">
        <f>(I92/K92/M92*Q92)</f>
        <v>3.3333333333333331E-3</v>
      </c>
      <c r="W88" s="723"/>
      <c r="X88" s="724"/>
      <c r="Y88" s="53"/>
      <c r="AA88" s="19"/>
      <c r="AB88" s="19"/>
      <c r="AC88" s="19"/>
      <c r="AD88" s="19"/>
      <c r="AE88" s="19"/>
      <c r="AF88" s="19"/>
      <c r="AG88" s="19"/>
      <c r="AH88" s="19"/>
    </row>
    <row r="89" spans="1:34" s="18" customFormat="1" ht="18" customHeight="1">
      <c r="A89" s="19"/>
      <c r="B89" s="709"/>
      <c r="C89" s="713"/>
      <c r="D89" s="714"/>
      <c r="E89" s="714"/>
      <c r="F89" s="714"/>
      <c r="G89" s="715"/>
      <c r="H89" s="713"/>
      <c r="I89" s="721"/>
      <c r="J89" s="721"/>
      <c r="K89" s="721"/>
      <c r="L89" s="721"/>
      <c r="M89" s="721"/>
      <c r="N89" s="721"/>
      <c r="O89" s="721"/>
      <c r="P89" s="721"/>
      <c r="Q89" s="721"/>
      <c r="R89" s="721"/>
      <c r="S89" s="721"/>
      <c r="T89" s="721"/>
      <c r="U89" s="722"/>
      <c r="V89" s="725"/>
      <c r="W89" s="725"/>
      <c r="X89" s="726"/>
      <c r="Y89" s="53"/>
      <c r="AA89" s="19"/>
      <c r="AB89" s="19"/>
      <c r="AC89" s="19"/>
      <c r="AD89" s="19"/>
      <c r="AE89" s="19"/>
      <c r="AF89" s="19"/>
      <c r="AG89" s="19"/>
      <c r="AH89" s="19"/>
    </row>
    <row r="90" spans="1:34" s="18" customFormat="1" ht="18" customHeight="1">
      <c r="A90" s="19"/>
      <c r="B90" s="709"/>
      <c r="C90" s="713"/>
      <c r="D90" s="714"/>
      <c r="E90" s="714"/>
      <c r="F90" s="714"/>
      <c r="G90" s="715"/>
      <c r="H90" s="713"/>
      <c r="I90" s="721"/>
      <c r="J90" s="721"/>
      <c r="K90" s="721"/>
      <c r="L90" s="721"/>
      <c r="M90" s="721"/>
      <c r="N90" s="721"/>
      <c r="O90" s="721"/>
      <c r="P90" s="721"/>
      <c r="Q90" s="721"/>
      <c r="R90" s="721"/>
      <c r="S90" s="721"/>
      <c r="T90" s="721"/>
      <c r="U90" s="722"/>
      <c r="V90" s="725"/>
      <c r="W90" s="725"/>
      <c r="X90" s="726"/>
      <c r="Y90" s="53"/>
      <c r="AA90" s="19"/>
      <c r="AB90" s="19"/>
      <c r="AC90" s="19"/>
      <c r="AD90" s="19"/>
      <c r="AE90" s="19"/>
      <c r="AF90" s="19"/>
      <c r="AG90" s="19"/>
      <c r="AH90" s="19"/>
    </row>
    <row r="91" spans="1:34" s="18" customFormat="1" ht="18" customHeight="1">
      <c r="A91" s="19"/>
      <c r="B91" s="709"/>
      <c r="C91" s="713"/>
      <c r="D91" s="714"/>
      <c r="E91" s="714"/>
      <c r="F91" s="714"/>
      <c r="G91" s="715"/>
      <c r="H91" s="713"/>
      <c r="I91" s="721"/>
      <c r="J91" s="721"/>
      <c r="K91" s="721"/>
      <c r="L91" s="721"/>
      <c r="M91" s="721"/>
      <c r="N91" s="721"/>
      <c r="O91" s="721"/>
      <c r="P91" s="721"/>
      <c r="Q91" s="721"/>
      <c r="R91" s="721"/>
      <c r="S91" s="721"/>
      <c r="T91" s="721"/>
      <c r="U91" s="722"/>
      <c r="V91" s="725"/>
      <c r="W91" s="725"/>
      <c r="X91" s="726"/>
      <c r="Y91" s="53"/>
      <c r="AA91" s="19"/>
      <c r="AB91" s="19"/>
      <c r="AC91" s="19"/>
      <c r="AD91" s="19"/>
      <c r="AE91" s="19"/>
      <c r="AF91" s="19"/>
      <c r="AG91" s="19"/>
      <c r="AH91" s="19"/>
    </row>
    <row r="92" spans="1:34" s="18" customFormat="1" ht="18" customHeight="1">
      <c r="A92" s="19"/>
      <c r="B92" s="709"/>
      <c r="C92" s="716"/>
      <c r="D92" s="717"/>
      <c r="E92" s="717"/>
      <c r="F92" s="717"/>
      <c r="G92" s="718"/>
      <c r="H92" s="75" t="s">
        <v>168</v>
      </c>
      <c r="I92" s="463">
        <v>15</v>
      </c>
      <c r="J92" s="27" t="s">
        <v>159</v>
      </c>
      <c r="K92" s="464">
        <v>12</v>
      </c>
      <c r="L92" s="27" t="s">
        <v>159</v>
      </c>
      <c r="M92" s="464">
        <v>30</v>
      </c>
      <c r="N92" s="27" t="s">
        <v>169</v>
      </c>
      <c r="O92" s="21" t="s">
        <v>161</v>
      </c>
      <c r="P92" s="27" t="s">
        <v>168</v>
      </c>
      <c r="Q92" s="729">
        <v>0.08</v>
      </c>
      <c r="R92" s="729"/>
      <c r="S92" s="27" t="s">
        <v>169</v>
      </c>
      <c r="T92" s="22"/>
      <c r="U92" s="23"/>
      <c r="V92" s="727"/>
      <c r="W92" s="727"/>
      <c r="X92" s="728"/>
      <c r="Y92" s="53"/>
      <c r="AA92" s="19"/>
      <c r="AB92" s="19"/>
      <c r="AC92" s="19"/>
      <c r="AD92" s="19"/>
      <c r="AE92" s="19"/>
      <c r="AF92" s="19"/>
      <c r="AG92" s="19"/>
      <c r="AH92" s="19"/>
    </row>
    <row r="93" spans="1:34" s="18" customFormat="1" ht="69.75" customHeight="1">
      <c r="A93" s="19"/>
      <c r="B93" s="76"/>
      <c r="C93" s="666" t="s">
        <v>194</v>
      </c>
      <c r="D93" s="667"/>
      <c r="E93" s="667"/>
      <c r="F93" s="667"/>
      <c r="G93" s="667"/>
      <c r="H93" s="667"/>
      <c r="I93" s="667"/>
      <c r="J93" s="667"/>
      <c r="K93" s="667"/>
      <c r="L93" s="667"/>
      <c r="M93" s="667"/>
      <c r="N93" s="667"/>
      <c r="O93" s="667"/>
      <c r="P93" s="667"/>
      <c r="Q93" s="667"/>
      <c r="R93" s="667"/>
      <c r="S93" s="667"/>
      <c r="T93" s="667"/>
      <c r="U93" s="667"/>
      <c r="V93" s="667"/>
      <c r="W93" s="667"/>
      <c r="X93" s="668"/>
      <c r="Y93" s="53"/>
      <c r="AA93" s="19"/>
      <c r="AB93" s="19"/>
      <c r="AC93" s="19"/>
      <c r="AD93" s="19"/>
      <c r="AE93" s="19"/>
      <c r="AF93" s="19"/>
      <c r="AG93" s="19"/>
      <c r="AH93" s="19"/>
    </row>
    <row r="94" spans="1:34" s="18" customFormat="1" ht="18" customHeight="1">
      <c r="A94" s="19"/>
      <c r="B94" s="76"/>
      <c r="C94" s="31" t="s">
        <v>195</v>
      </c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21"/>
      <c r="P94" s="32"/>
      <c r="Q94" s="33"/>
      <c r="R94" s="30"/>
      <c r="S94" s="30"/>
      <c r="T94" s="34"/>
      <c r="U94" s="54"/>
      <c r="V94" s="669">
        <f>V80+V82+V88</f>
        <v>0.10212499999999999</v>
      </c>
      <c r="W94" s="670"/>
      <c r="X94" s="671"/>
      <c r="Y94" s="53"/>
      <c r="AA94" s="19"/>
      <c r="AB94" s="19"/>
      <c r="AC94" s="19"/>
      <c r="AD94" s="19"/>
      <c r="AE94" s="19"/>
      <c r="AF94" s="19"/>
      <c r="AG94" s="19"/>
      <c r="AH94" s="19"/>
    </row>
    <row r="95" spans="1:34" s="18" customFormat="1" ht="19.5" customHeight="1">
      <c r="A95" s="19"/>
      <c r="B95" s="70" t="s">
        <v>13</v>
      </c>
      <c r="C95" s="31" t="s">
        <v>174</v>
      </c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21"/>
      <c r="P95" s="32"/>
      <c r="Q95" s="33"/>
      <c r="R95" s="30"/>
      <c r="S95" s="30"/>
      <c r="T95" s="34"/>
      <c r="U95" s="54"/>
      <c r="V95" s="67"/>
      <c r="W95" s="68"/>
      <c r="X95" s="69"/>
      <c r="Y95" s="53"/>
      <c r="AA95" s="19"/>
      <c r="AB95" s="19"/>
      <c r="AC95" s="19"/>
      <c r="AD95" s="19"/>
      <c r="AE95" s="19"/>
      <c r="AF95" s="19"/>
      <c r="AG95" s="19"/>
      <c r="AH95" s="19"/>
    </row>
    <row r="96" spans="1:34" s="18" customFormat="1" ht="18.75" customHeight="1">
      <c r="A96" s="19"/>
      <c r="C96" s="31"/>
      <c r="D96" s="32"/>
      <c r="E96" s="32"/>
      <c r="F96" s="32"/>
      <c r="G96" s="32"/>
      <c r="H96" s="32" t="s">
        <v>168</v>
      </c>
      <c r="I96" s="469">
        <f>V25</f>
        <v>0.15333333333333335</v>
      </c>
      <c r="J96" s="55" t="s">
        <v>171</v>
      </c>
      <c r="K96" s="469">
        <f>V32</f>
        <v>9.9851851851851859E-4</v>
      </c>
      <c r="L96" s="55" t="s">
        <v>171</v>
      </c>
      <c r="M96" s="469">
        <f>V54</f>
        <v>3.666097222222222E-2</v>
      </c>
      <c r="N96" s="32" t="s">
        <v>169</v>
      </c>
      <c r="O96" s="27" t="s">
        <v>161</v>
      </c>
      <c r="P96" s="32" t="s">
        <v>168</v>
      </c>
      <c r="Q96" s="672">
        <f>V94</f>
        <v>0.10212499999999999</v>
      </c>
      <c r="R96" s="672"/>
      <c r="S96" s="30" t="s">
        <v>169</v>
      </c>
      <c r="T96" s="34"/>
      <c r="U96" s="35"/>
      <c r="V96" s="673">
        <f>(I96+K96+M96)*(Q96)</f>
        <v>1.9505142158564814E-2</v>
      </c>
      <c r="W96" s="674"/>
      <c r="X96" s="675"/>
      <c r="Y96" s="53"/>
      <c r="AA96" s="19"/>
      <c r="AB96" s="19"/>
      <c r="AC96" s="19"/>
      <c r="AD96" s="19"/>
      <c r="AE96" s="19"/>
      <c r="AF96" s="19"/>
      <c r="AG96" s="19"/>
      <c r="AH96" s="19"/>
    </row>
    <row r="97" spans="1:34" s="18" customFormat="1" ht="21" customHeight="1">
      <c r="A97" s="19"/>
      <c r="C97" s="676" t="s">
        <v>173</v>
      </c>
      <c r="D97" s="677"/>
      <c r="E97" s="677"/>
      <c r="F97" s="677"/>
      <c r="G97" s="677"/>
      <c r="H97" s="677"/>
      <c r="I97" s="677"/>
      <c r="J97" s="677"/>
      <c r="K97" s="677"/>
      <c r="L97" s="677"/>
      <c r="M97" s="677"/>
      <c r="N97" s="677"/>
      <c r="O97" s="677"/>
      <c r="P97" s="677"/>
      <c r="Q97" s="677"/>
      <c r="R97" s="677"/>
      <c r="S97" s="677"/>
      <c r="T97" s="677"/>
      <c r="U97" s="678"/>
      <c r="V97" s="679">
        <f>SUM(V80,V81,V82,V96,V88)</f>
        <v>0.15200764215856483</v>
      </c>
      <c r="W97" s="680"/>
      <c r="X97" s="681"/>
      <c r="Y97" s="53"/>
      <c r="AA97" s="19"/>
      <c r="AB97" s="19"/>
      <c r="AC97" s="19"/>
      <c r="AD97" s="19"/>
      <c r="AE97" s="19"/>
      <c r="AF97" s="19"/>
      <c r="AG97" s="19"/>
      <c r="AH97" s="19"/>
    </row>
    <row r="99" spans="1:34" s="18" customFormat="1" ht="21" customHeight="1">
      <c r="A99" s="19"/>
      <c r="C99" s="664" t="s">
        <v>175</v>
      </c>
      <c r="D99" s="664"/>
      <c r="E99" s="664"/>
      <c r="F99" s="664"/>
      <c r="G99" s="664"/>
      <c r="H99" s="665"/>
      <c r="I99" s="665"/>
      <c r="J99" s="665"/>
      <c r="K99" s="665"/>
      <c r="L99" s="665"/>
      <c r="M99" s="665"/>
      <c r="N99" s="665"/>
      <c r="O99" s="665"/>
      <c r="P99" s="665"/>
      <c r="Q99" s="665"/>
      <c r="R99" s="665"/>
      <c r="S99" s="665"/>
      <c r="T99" s="665"/>
      <c r="U99" s="665"/>
      <c r="V99" s="665"/>
      <c r="W99" s="665"/>
      <c r="X99" s="665"/>
      <c r="Y99" s="53"/>
      <c r="AA99" s="19"/>
      <c r="AB99" s="19"/>
      <c r="AC99" s="19"/>
      <c r="AD99" s="19"/>
      <c r="AE99" s="19"/>
      <c r="AF99" s="19"/>
      <c r="AG99" s="19"/>
      <c r="AH99" s="19"/>
    </row>
    <row r="100" spans="1:34" s="18" customFormat="1" ht="20.25" customHeight="1">
      <c r="A100" s="19"/>
      <c r="C100" s="656" t="str">
        <f>C13</f>
        <v>Submódulo 2.2 - Encargos Previdenciários, FGTS e outras contribuições:</v>
      </c>
      <c r="D100" s="656"/>
      <c r="E100" s="656"/>
      <c r="F100" s="657"/>
      <c r="G100" s="657"/>
      <c r="H100" s="657"/>
      <c r="I100" s="657"/>
      <c r="J100" s="657"/>
      <c r="K100" s="657"/>
      <c r="L100" s="657"/>
      <c r="M100" s="657"/>
      <c r="N100" s="657"/>
      <c r="O100" s="657"/>
      <c r="P100" s="657"/>
      <c r="Q100" s="657"/>
      <c r="R100" s="657"/>
      <c r="S100" s="657"/>
      <c r="T100" s="657"/>
      <c r="U100" s="657"/>
      <c r="V100" s="658">
        <f>(V13)</f>
        <v>0.34800000000000009</v>
      </c>
      <c r="W100" s="659"/>
      <c r="X100" s="659"/>
      <c r="Y100" s="53"/>
      <c r="AA100" s="19"/>
      <c r="AB100" s="19"/>
      <c r="AC100" s="19"/>
      <c r="AD100" s="19"/>
      <c r="AE100" s="19"/>
      <c r="AF100" s="19"/>
      <c r="AG100" s="19"/>
      <c r="AH100" s="19"/>
    </row>
    <row r="101" spans="1:34" s="18" customFormat="1" ht="23.25" customHeight="1">
      <c r="A101" s="19"/>
      <c r="C101" s="656" t="str">
        <f>C25</f>
        <v>Submódulo 2.3 - 13º Salário e Adiconal de Férias:</v>
      </c>
      <c r="D101" s="656"/>
      <c r="E101" s="656"/>
      <c r="F101" s="657"/>
      <c r="G101" s="657"/>
      <c r="H101" s="657"/>
      <c r="I101" s="657"/>
      <c r="J101" s="657"/>
      <c r="K101" s="657"/>
      <c r="L101" s="657"/>
      <c r="M101" s="657"/>
      <c r="N101" s="657"/>
      <c r="O101" s="657"/>
      <c r="P101" s="657"/>
      <c r="Q101" s="657"/>
      <c r="R101" s="657"/>
      <c r="S101" s="657"/>
      <c r="T101" s="657"/>
      <c r="U101" s="657"/>
      <c r="V101" s="658">
        <f>(V25)</f>
        <v>0.15333333333333335</v>
      </c>
      <c r="W101" s="659"/>
      <c r="X101" s="659"/>
      <c r="Y101" s="53"/>
      <c r="AA101" s="19"/>
      <c r="AB101" s="19"/>
      <c r="AC101" s="19"/>
      <c r="AD101" s="19"/>
      <c r="AE101" s="19"/>
      <c r="AF101" s="19"/>
      <c r="AG101" s="19"/>
      <c r="AH101" s="19"/>
    </row>
    <row r="102" spans="1:34" s="18" customFormat="1" ht="22.5" customHeight="1">
      <c r="A102" s="19"/>
      <c r="C102" s="656" t="str">
        <f>C32</f>
        <v>Submódulo 2.4 - Afastamento Maternidade:</v>
      </c>
      <c r="D102" s="656"/>
      <c r="E102" s="656"/>
      <c r="F102" s="657"/>
      <c r="G102" s="657"/>
      <c r="H102" s="657"/>
      <c r="I102" s="657"/>
      <c r="J102" s="657"/>
      <c r="K102" s="657"/>
      <c r="L102" s="657"/>
      <c r="M102" s="657"/>
      <c r="N102" s="657"/>
      <c r="O102" s="657"/>
      <c r="P102" s="657"/>
      <c r="Q102" s="657"/>
      <c r="R102" s="657"/>
      <c r="S102" s="657"/>
      <c r="T102" s="657"/>
      <c r="U102" s="657"/>
      <c r="V102" s="658">
        <f>(V32)</f>
        <v>9.9851851851851859E-4</v>
      </c>
      <c r="W102" s="659"/>
      <c r="X102" s="659"/>
      <c r="Y102" s="53"/>
      <c r="AA102" s="19"/>
      <c r="AB102" s="19"/>
      <c r="AC102" s="19"/>
      <c r="AD102" s="19"/>
      <c r="AE102" s="19"/>
      <c r="AF102" s="19"/>
      <c r="AG102" s="19"/>
      <c r="AH102" s="19"/>
    </row>
    <row r="103" spans="1:34" s="18" customFormat="1" ht="24" customHeight="1">
      <c r="A103" s="19"/>
      <c r="C103" s="656" t="str">
        <f>C54</f>
        <v>Módulo 3 - Provisão para Rescisão</v>
      </c>
      <c r="D103" s="656"/>
      <c r="E103" s="656"/>
      <c r="F103" s="657"/>
      <c r="G103" s="657"/>
      <c r="H103" s="657"/>
      <c r="I103" s="657"/>
      <c r="J103" s="657"/>
      <c r="K103" s="657"/>
      <c r="L103" s="657"/>
      <c r="M103" s="657"/>
      <c r="N103" s="657"/>
      <c r="O103" s="657"/>
      <c r="P103" s="657"/>
      <c r="Q103" s="657"/>
      <c r="R103" s="657"/>
      <c r="S103" s="657"/>
      <c r="T103" s="657"/>
      <c r="U103" s="657"/>
      <c r="V103" s="658">
        <f>(V54)</f>
        <v>3.666097222222222E-2</v>
      </c>
      <c r="W103" s="659"/>
      <c r="X103" s="659"/>
      <c r="Y103" s="53"/>
      <c r="AA103" s="19"/>
      <c r="AB103" s="19"/>
      <c r="AC103" s="19"/>
      <c r="AD103" s="19"/>
      <c r="AE103" s="19"/>
      <c r="AF103" s="19"/>
      <c r="AG103" s="19"/>
      <c r="AH103" s="19"/>
    </row>
    <row r="104" spans="1:34" s="18" customFormat="1" ht="29.25" customHeight="1">
      <c r="A104" s="19"/>
      <c r="C104" s="656" t="str">
        <f>C97</f>
        <v>Módulo 4 - Custo de Reposição do Profissional Ausente</v>
      </c>
      <c r="D104" s="656"/>
      <c r="E104" s="656"/>
      <c r="F104" s="657"/>
      <c r="G104" s="657"/>
      <c r="H104" s="657"/>
      <c r="I104" s="657"/>
      <c r="J104" s="657"/>
      <c r="K104" s="657"/>
      <c r="L104" s="657"/>
      <c r="M104" s="657"/>
      <c r="N104" s="657"/>
      <c r="O104" s="657"/>
      <c r="P104" s="657"/>
      <c r="Q104" s="657"/>
      <c r="R104" s="657"/>
      <c r="S104" s="657"/>
      <c r="T104" s="657"/>
      <c r="U104" s="657"/>
      <c r="V104" s="658">
        <f>V97</f>
        <v>0.15200764215856483</v>
      </c>
      <c r="W104" s="659"/>
      <c r="X104" s="659"/>
      <c r="Y104" s="53"/>
      <c r="AA104" s="19"/>
      <c r="AB104" s="19"/>
      <c r="AC104" s="19"/>
      <c r="AD104" s="19"/>
      <c r="AE104" s="19"/>
      <c r="AF104" s="19"/>
      <c r="AG104" s="19"/>
      <c r="AH104" s="19"/>
    </row>
    <row r="105" spans="1:34" s="18" customFormat="1" ht="21" customHeight="1">
      <c r="A105" s="19"/>
      <c r="C105" s="660" t="s">
        <v>176</v>
      </c>
      <c r="D105" s="660"/>
      <c r="E105" s="660"/>
      <c r="F105" s="661"/>
      <c r="G105" s="661"/>
      <c r="H105" s="661"/>
      <c r="I105" s="661"/>
      <c r="J105" s="661"/>
      <c r="K105" s="661"/>
      <c r="L105" s="661"/>
      <c r="M105" s="661"/>
      <c r="N105" s="661"/>
      <c r="O105" s="661"/>
      <c r="P105" s="661"/>
      <c r="Q105" s="661"/>
      <c r="R105" s="661"/>
      <c r="S105" s="661"/>
      <c r="T105" s="661"/>
      <c r="U105" s="661"/>
      <c r="V105" s="662">
        <f>SUM(V100:X104)</f>
        <v>0.691000466232639</v>
      </c>
      <c r="W105" s="663"/>
      <c r="X105" s="663"/>
      <c r="Y105" s="53"/>
      <c r="AA105" s="19"/>
      <c r="AB105" s="19"/>
      <c r="AC105" s="19"/>
      <c r="AD105" s="19"/>
      <c r="AE105" s="19"/>
      <c r="AF105" s="19"/>
      <c r="AG105" s="19"/>
      <c r="AH105" s="19"/>
    </row>
    <row r="108" spans="1:34">
      <c r="C108" s="648" t="s">
        <v>72</v>
      </c>
      <c r="D108" s="648"/>
      <c r="E108" s="149" t="s">
        <v>73</v>
      </c>
      <c r="F108" s="649" t="s">
        <v>74</v>
      </c>
      <c r="G108" s="649"/>
      <c r="H108" s="650" t="s">
        <v>75</v>
      </c>
      <c r="I108" s="650"/>
      <c r="J108" s="650"/>
      <c r="K108" s="650"/>
      <c r="L108" s="650"/>
      <c r="M108" s="650"/>
      <c r="N108" s="650"/>
      <c r="O108" s="650"/>
      <c r="P108" s="650"/>
      <c r="Q108" s="650"/>
      <c r="R108" s="650"/>
      <c r="S108" s="650"/>
      <c r="T108" s="650"/>
      <c r="U108" s="650"/>
      <c r="V108" s="650"/>
      <c r="W108" s="650"/>
      <c r="X108" s="650"/>
    </row>
    <row r="109" spans="1:34" ht="18" customHeight="1">
      <c r="C109" s="651" t="s">
        <v>602</v>
      </c>
      <c r="D109" s="652"/>
      <c r="E109" s="56">
        <v>0.01</v>
      </c>
      <c r="F109" s="653">
        <v>515</v>
      </c>
      <c r="G109" s="654"/>
      <c r="H109" s="653" t="s">
        <v>603</v>
      </c>
      <c r="I109" s="655"/>
      <c r="J109" s="655"/>
      <c r="K109" s="655"/>
      <c r="L109" s="655"/>
      <c r="M109" s="655"/>
      <c r="N109" s="655"/>
      <c r="O109" s="655"/>
      <c r="P109" s="655"/>
      <c r="Q109" s="655"/>
      <c r="R109" s="655"/>
      <c r="S109" s="655"/>
      <c r="T109" s="655"/>
      <c r="U109" s="655"/>
      <c r="V109" s="655"/>
      <c r="W109" s="655"/>
      <c r="X109" s="654"/>
      <c r="Y109" s="77"/>
      <c r="Z109" s="57"/>
      <c r="AA109" s="58"/>
      <c r="AB109" s="59"/>
      <c r="AC109" s="59"/>
      <c r="AD109" s="18"/>
      <c r="AE109" s="18"/>
    </row>
    <row r="110" spans="1:34">
      <c r="F110" s="643" t="s">
        <v>39</v>
      </c>
      <c r="G110" s="644"/>
    </row>
    <row r="111" spans="1:34">
      <c r="F111" s="645" t="s">
        <v>604</v>
      </c>
      <c r="G111" s="646"/>
      <c r="H111" s="646"/>
      <c r="I111" s="646"/>
      <c r="J111" s="646"/>
      <c r="K111" s="646"/>
      <c r="L111" s="646"/>
      <c r="M111" s="646"/>
      <c r="N111" s="646"/>
      <c r="O111" s="646"/>
      <c r="P111" s="646"/>
      <c r="Q111" s="646"/>
      <c r="R111" s="646"/>
      <c r="S111" s="646"/>
      <c r="T111" s="646"/>
      <c r="U111" s="646"/>
      <c r="V111" s="646"/>
      <c r="W111" s="646"/>
      <c r="X111" s="647"/>
    </row>
  </sheetData>
  <mergeCells count="166">
    <mergeCell ref="C6:U6"/>
    <mergeCell ref="V6:X6"/>
    <mergeCell ref="C7:U7"/>
    <mergeCell ref="V7:X7"/>
    <mergeCell ref="C8:U8"/>
    <mergeCell ref="V8:X8"/>
    <mergeCell ref="C2:X2"/>
    <mergeCell ref="C3:U3"/>
    <mergeCell ref="V3:X3"/>
    <mergeCell ref="C4:U4"/>
    <mergeCell ref="V4:X4"/>
    <mergeCell ref="C5:U5"/>
    <mergeCell ref="V5:X5"/>
    <mergeCell ref="C9:U9"/>
    <mergeCell ref="V9:X9"/>
    <mergeCell ref="B10:B11"/>
    <mergeCell ref="C10:U10"/>
    <mergeCell ref="V10:X11"/>
    <mergeCell ref="D11:E11"/>
    <mergeCell ref="F11:H11"/>
    <mergeCell ref="K11:M11"/>
    <mergeCell ref="N11:P11"/>
    <mergeCell ref="B16:B18"/>
    <mergeCell ref="C16:G18"/>
    <mergeCell ref="H16:U16"/>
    <mergeCell ref="V16:X18"/>
    <mergeCell ref="H18:N18"/>
    <mergeCell ref="P18:U18"/>
    <mergeCell ref="C12:U12"/>
    <mergeCell ref="V12:X12"/>
    <mergeCell ref="C13:U13"/>
    <mergeCell ref="V13:X13"/>
    <mergeCell ref="C14:X14"/>
    <mergeCell ref="C15:X15"/>
    <mergeCell ref="C22:U22"/>
    <mergeCell ref="V22:X22"/>
    <mergeCell ref="C23:P23"/>
    <mergeCell ref="Q23:R23"/>
    <mergeCell ref="T23:U23"/>
    <mergeCell ref="V23:X23"/>
    <mergeCell ref="B19:B21"/>
    <mergeCell ref="C19:G21"/>
    <mergeCell ref="H19:U19"/>
    <mergeCell ref="V19:X21"/>
    <mergeCell ref="H21:I21"/>
    <mergeCell ref="K21:L21"/>
    <mergeCell ref="N21:O21"/>
    <mergeCell ref="V24:X24"/>
    <mergeCell ref="C25:U25"/>
    <mergeCell ref="V25:X25"/>
    <mergeCell ref="C27:X27"/>
    <mergeCell ref="C28:X28"/>
    <mergeCell ref="B29:B30"/>
    <mergeCell ref="C29:G30"/>
    <mergeCell ref="H29:U29"/>
    <mergeCell ref="V29:X30"/>
    <mergeCell ref="H30:I30"/>
    <mergeCell ref="C34:X34"/>
    <mergeCell ref="B35:B40"/>
    <mergeCell ref="C35:G40"/>
    <mergeCell ref="H35:U39"/>
    <mergeCell ref="V35:X40"/>
    <mergeCell ref="M40:N40"/>
    <mergeCell ref="K30:L30"/>
    <mergeCell ref="N30:O30"/>
    <mergeCell ref="Q30:R30"/>
    <mergeCell ref="C31:P31"/>
    <mergeCell ref="V31:X31"/>
    <mergeCell ref="C32:U32"/>
    <mergeCell ref="V32:X32"/>
    <mergeCell ref="C42:U42"/>
    <mergeCell ref="V42:X42"/>
    <mergeCell ref="C43:X43"/>
    <mergeCell ref="Q44:R44"/>
    <mergeCell ref="T44:U44"/>
    <mergeCell ref="V44:X44"/>
    <mergeCell ref="C41:G41"/>
    <mergeCell ref="H41:I41"/>
    <mergeCell ref="K41:L41"/>
    <mergeCell ref="M41:N41"/>
    <mergeCell ref="O41:P41"/>
    <mergeCell ref="V41:X41"/>
    <mergeCell ref="B51:B53"/>
    <mergeCell ref="C51:G53"/>
    <mergeCell ref="H51:U52"/>
    <mergeCell ref="V51:X53"/>
    <mergeCell ref="H53:I53"/>
    <mergeCell ref="K53:L53"/>
    <mergeCell ref="N53:O53"/>
    <mergeCell ref="C45:G45"/>
    <mergeCell ref="K45:L45"/>
    <mergeCell ref="N45:O45"/>
    <mergeCell ref="V45:X45"/>
    <mergeCell ref="B46:B50"/>
    <mergeCell ref="C46:G50"/>
    <mergeCell ref="H46:U49"/>
    <mergeCell ref="V46:X50"/>
    <mergeCell ref="H50:I50"/>
    <mergeCell ref="K50:L50"/>
    <mergeCell ref="Q60:R60"/>
    <mergeCell ref="B61:B67"/>
    <mergeCell ref="C61:G67"/>
    <mergeCell ref="H61:U66"/>
    <mergeCell ref="V61:X67"/>
    <mergeCell ref="Q67:R67"/>
    <mergeCell ref="C54:U54"/>
    <mergeCell ref="V54:X54"/>
    <mergeCell ref="C56:X56"/>
    <mergeCell ref="B57:B60"/>
    <mergeCell ref="C57:G60"/>
    <mergeCell ref="H57:U59"/>
    <mergeCell ref="V57:X60"/>
    <mergeCell ref="H60:I60"/>
    <mergeCell ref="K60:L60"/>
    <mergeCell ref="M60:N60"/>
    <mergeCell ref="C80:U80"/>
    <mergeCell ref="V80:X80"/>
    <mergeCell ref="C81:P81"/>
    <mergeCell ref="Q81:R81"/>
    <mergeCell ref="T81:U81"/>
    <mergeCell ref="V81:X81"/>
    <mergeCell ref="B68:B72"/>
    <mergeCell ref="C68:G72"/>
    <mergeCell ref="H68:U71"/>
    <mergeCell ref="V68:X72"/>
    <mergeCell ref="B73:B79"/>
    <mergeCell ref="C73:G79"/>
    <mergeCell ref="H73:U78"/>
    <mergeCell ref="V73:X79"/>
    <mergeCell ref="Q79:R79"/>
    <mergeCell ref="B82:B87"/>
    <mergeCell ref="C82:G87"/>
    <mergeCell ref="H82:U86"/>
    <mergeCell ref="V82:X87"/>
    <mergeCell ref="B88:B92"/>
    <mergeCell ref="C88:G92"/>
    <mergeCell ref="H88:U91"/>
    <mergeCell ref="V88:X92"/>
    <mergeCell ref="Q92:R92"/>
    <mergeCell ref="C99:X99"/>
    <mergeCell ref="C100:U100"/>
    <mergeCell ref="V100:X100"/>
    <mergeCell ref="C101:U101"/>
    <mergeCell ref="V101:X101"/>
    <mergeCell ref="C102:U102"/>
    <mergeCell ref="V102:X102"/>
    <mergeCell ref="C93:X93"/>
    <mergeCell ref="V94:X94"/>
    <mergeCell ref="Q96:R96"/>
    <mergeCell ref="V96:X96"/>
    <mergeCell ref="C97:U97"/>
    <mergeCell ref="V97:X97"/>
    <mergeCell ref="F110:G110"/>
    <mergeCell ref="F111:X111"/>
    <mergeCell ref="C108:D108"/>
    <mergeCell ref="F108:G108"/>
    <mergeCell ref="H108:X108"/>
    <mergeCell ref="C109:D109"/>
    <mergeCell ref="F109:G109"/>
    <mergeCell ref="H109:X109"/>
    <mergeCell ref="C103:U103"/>
    <mergeCell ref="V103:X103"/>
    <mergeCell ref="C104:U104"/>
    <mergeCell ref="V104:X104"/>
    <mergeCell ref="C105:U105"/>
    <mergeCell ref="V105:X105"/>
  </mergeCells>
  <printOptions horizontalCentered="1" verticalCentered="1"/>
  <pageMargins left="0.78740157480314998" right="0.78740157480314998" top="0.98425196850393704" bottom="0.98425196850393704" header="0.511811023622047" footer="0.511811023622047"/>
  <pageSetup paperSize="9" scale="65" orientation="portrait" horizontalDpi="300" verticalDpi="300"/>
  <headerFooter alignWithMargins="0"/>
  <rowBreaks count="1" manualBreakCount="1">
    <brk id="55" max="22" man="1"/>
  </rowBreaks>
  <colBreaks count="1" manualBreakCount="1">
    <brk id="23" max="108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D5DD8-1F3D-4204-BB90-A3442D056AE7}">
  <sheetPr>
    <tabColor theme="9"/>
  </sheetPr>
  <dimension ref="B3:U26"/>
  <sheetViews>
    <sheetView showGridLines="0" zoomScale="85" zoomScaleNormal="85" workbookViewId="0">
      <selection activeCell="B3" sqref="B3:I6"/>
    </sheetView>
  </sheetViews>
  <sheetFormatPr defaultRowHeight="15"/>
  <cols>
    <col min="1" max="1" width="6" customWidth="1"/>
    <col min="2" max="2" width="17.140625" customWidth="1"/>
    <col min="3" max="3" width="15.7109375" customWidth="1"/>
    <col min="4" max="5" width="20.7109375" customWidth="1"/>
    <col min="6" max="6" width="16.42578125" customWidth="1"/>
    <col min="7" max="7" width="7.7109375" customWidth="1"/>
    <col min="8" max="8" width="12.7109375" customWidth="1"/>
    <col min="9" max="9" width="26.85546875" customWidth="1"/>
    <col min="10" max="10" width="20.140625" hidden="1" customWidth="1"/>
    <col min="11" max="11" width="22.7109375" hidden="1" customWidth="1"/>
    <col min="12" max="12" width="20.140625" hidden="1" customWidth="1"/>
    <col min="13" max="13" width="22" hidden="1" customWidth="1"/>
    <col min="14" max="14" width="23.28515625" hidden="1" customWidth="1"/>
    <col min="15" max="17" width="20.140625" hidden="1" customWidth="1"/>
    <col min="18" max="18" width="57" customWidth="1"/>
    <col min="19" max="19" width="34" customWidth="1"/>
    <col min="20" max="20" width="15.85546875" customWidth="1"/>
    <col min="21" max="21" width="21.7109375" customWidth="1"/>
    <col min="22" max="22" width="18.85546875" customWidth="1"/>
    <col min="23" max="23" width="16.140625" customWidth="1"/>
    <col min="24" max="24" width="23.5703125" customWidth="1"/>
    <col min="25" max="25" width="11.85546875" customWidth="1"/>
    <col min="26" max="26" width="11.42578125" customWidth="1"/>
  </cols>
  <sheetData>
    <row r="3" spans="2:21" ht="19.5" customHeight="1">
      <c r="B3" s="866" t="s">
        <v>60</v>
      </c>
      <c r="C3" s="608" t="s">
        <v>54</v>
      </c>
      <c r="D3" s="866" t="s">
        <v>61</v>
      </c>
      <c r="E3" s="866"/>
      <c r="F3" s="866"/>
      <c r="G3" s="866"/>
      <c r="H3" s="866"/>
      <c r="I3" s="866"/>
    </row>
    <row r="4" spans="2:21" ht="24.75" customHeight="1">
      <c r="B4" s="866"/>
      <c r="C4" s="608" t="s">
        <v>599</v>
      </c>
      <c r="D4" s="866"/>
      <c r="E4" s="866"/>
      <c r="F4" s="866"/>
      <c r="G4" s="866"/>
      <c r="H4" s="866"/>
      <c r="I4" s="866"/>
    </row>
    <row r="5" spans="2:21" ht="18.75" customHeight="1">
      <c r="B5" s="877" t="s">
        <v>598</v>
      </c>
      <c r="C5" s="877"/>
      <c r="D5" s="877"/>
      <c r="E5" s="877"/>
      <c r="F5" s="877"/>
      <c r="G5" s="877"/>
      <c r="H5" s="877"/>
      <c r="I5" s="877"/>
      <c r="U5" s="143"/>
    </row>
    <row r="6" spans="2:21" ht="120" customHeight="1">
      <c r="B6" s="607" t="s">
        <v>887</v>
      </c>
      <c r="C6" s="607">
        <v>6</v>
      </c>
      <c r="D6" s="876" t="s">
        <v>1208</v>
      </c>
      <c r="E6" s="876"/>
      <c r="F6" s="876"/>
      <c r="G6" s="876"/>
      <c r="H6" s="876"/>
      <c r="I6" s="876"/>
    </row>
    <row r="9" spans="2:21" ht="23.25" customHeight="1">
      <c r="H9" s="867" t="s">
        <v>71</v>
      </c>
      <c r="I9" s="868"/>
      <c r="J9" s="868"/>
      <c r="K9" s="868"/>
      <c r="L9" s="868"/>
      <c r="M9" s="868"/>
      <c r="N9" s="868"/>
      <c r="O9" s="868"/>
      <c r="P9" s="868"/>
      <c r="Q9" s="868"/>
      <c r="R9" s="868"/>
      <c r="S9" s="869"/>
    </row>
    <row r="10" spans="2:21" ht="18.75" customHeight="1">
      <c r="H10" s="144" t="s">
        <v>60</v>
      </c>
      <c r="I10" s="144" t="s">
        <v>595</v>
      </c>
      <c r="J10" s="601" t="s">
        <v>1165</v>
      </c>
      <c r="K10" s="601" t="s">
        <v>888</v>
      </c>
      <c r="L10" s="601" t="s">
        <v>1166</v>
      </c>
      <c r="M10" s="601" t="s">
        <v>1167</v>
      </c>
      <c r="N10" s="601" t="s">
        <v>1168</v>
      </c>
      <c r="O10" s="144" t="s">
        <v>59</v>
      </c>
      <c r="P10" s="144" t="s">
        <v>58</v>
      </c>
      <c r="Q10" s="144" t="s">
        <v>601</v>
      </c>
      <c r="R10" s="144" t="s">
        <v>600</v>
      </c>
      <c r="S10" s="144" t="s">
        <v>596</v>
      </c>
    </row>
    <row r="11" spans="2:21" ht="18.75" customHeight="1">
      <c r="H11" s="145" t="s">
        <v>887</v>
      </c>
      <c r="I11" s="145">
        <f>C6</f>
        <v>6</v>
      </c>
      <c r="J11" s="146">
        <v>159.6</v>
      </c>
      <c r="K11" s="146">
        <v>149.9</v>
      </c>
      <c r="L11" s="146">
        <v>289</v>
      </c>
      <c r="M11" s="146">
        <v>249</v>
      </c>
      <c r="N11" s="146">
        <v>285</v>
      </c>
      <c r="O11" s="146">
        <f>AVERAGE(J11:N11)</f>
        <v>226.5</v>
      </c>
      <c r="P11" s="146">
        <f>MEDIAN(J11:N11)</f>
        <v>249</v>
      </c>
      <c r="Q11" s="146">
        <f>SMALL(O11:P11,1)</f>
        <v>226.5</v>
      </c>
      <c r="R11" s="147">
        <f>Q11</f>
        <v>226.5</v>
      </c>
      <c r="S11" s="147">
        <f>ROUND(R11*I11,2)</f>
        <v>1359</v>
      </c>
    </row>
    <row r="12" spans="2:21" ht="21.75" customHeight="1">
      <c r="H12" s="870" t="s">
        <v>597</v>
      </c>
      <c r="I12" s="871"/>
      <c r="J12" s="871"/>
      <c r="K12" s="871"/>
      <c r="L12" s="871"/>
      <c r="M12" s="871"/>
      <c r="N12" s="871"/>
      <c r="O12" s="871"/>
      <c r="P12" s="871"/>
      <c r="Q12" s="871"/>
      <c r="R12" s="872"/>
      <c r="S12" s="148">
        <f>ROUND(S11/12,2)</f>
        <v>113.25</v>
      </c>
    </row>
    <row r="13" spans="2:21" ht="36.75" customHeight="1">
      <c r="P13" s="143"/>
    </row>
    <row r="14" spans="2:21">
      <c r="P14" s="143"/>
    </row>
    <row r="17" spans="2:9" ht="71.25" customHeight="1"/>
    <row r="21" spans="2:9" ht="24" customHeight="1">
      <c r="B21" s="598" t="s">
        <v>608</v>
      </c>
      <c r="C21" s="599"/>
      <c r="D21" s="600"/>
      <c r="E21" s="600"/>
      <c r="F21" s="600"/>
    </row>
    <row r="22" spans="2:9" ht="35.25" customHeight="1">
      <c r="B22" s="428">
        <v>1</v>
      </c>
      <c r="C22" s="615" t="s">
        <v>707</v>
      </c>
      <c r="D22" s="616"/>
      <c r="E22" s="616"/>
      <c r="F22" s="616"/>
      <c r="G22" s="616"/>
      <c r="H22" s="616"/>
      <c r="I22" s="862"/>
    </row>
    <row r="23" spans="2:9" ht="64.5" customHeight="1">
      <c r="B23" s="428">
        <f>B22+1</f>
        <v>2</v>
      </c>
      <c r="C23" s="873" t="s">
        <v>708</v>
      </c>
      <c r="D23" s="874"/>
      <c r="E23" s="874"/>
      <c r="F23" s="874"/>
      <c r="G23" s="874"/>
      <c r="H23" s="874"/>
      <c r="I23" s="875"/>
    </row>
    <row r="24" spans="2:9" ht="39" customHeight="1">
      <c r="B24" s="428">
        <f t="shared" ref="B24:B26" si="0">B23+1</f>
        <v>3</v>
      </c>
      <c r="C24" s="615" t="s">
        <v>709</v>
      </c>
      <c r="D24" s="616"/>
      <c r="E24" s="616"/>
      <c r="F24" s="616"/>
      <c r="G24" s="616"/>
      <c r="H24" s="616"/>
      <c r="I24" s="862"/>
    </row>
    <row r="25" spans="2:9" ht="40.5" customHeight="1">
      <c r="B25" s="428">
        <f t="shared" si="0"/>
        <v>4</v>
      </c>
      <c r="C25" s="615" t="s">
        <v>1185</v>
      </c>
      <c r="D25" s="616"/>
      <c r="E25" s="616"/>
      <c r="F25" s="616"/>
      <c r="G25" s="616"/>
      <c r="H25" s="616"/>
      <c r="I25" s="862"/>
    </row>
    <row r="26" spans="2:9" ht="75.75" customHeight="1">
      <c r="B26" s="428">
        <f t="shared" si="0"/>
        <v>5</v>
      </c>
      <c r="C26" s="863" t="s">
        <v>1164</v>
      </c>
      <c r="D26" s="864"/>
      <c r="E26" s="864"/>
      <c r="F26" s="864"/>
      <c r="G26" s="864"/>
      <c r="H26" s="864"/>
      <c r="I26" s="865"/>
    </row>
  </sheetData>
  <mergeCells count="11">
    <mergeCell ref="C25:I25"/>
    <mergeCell ref="C26:I26"/>
    <mergeCell ref="B3:B4"/>
    <mergeCell ref="H9:S9"/>
    <mergeCell ref="H12:R12"/>
    <mergeCell ref="C22:I22"/>
    <mergeCell ref="C23:I23"/>
    <mergeCell ref="C24:I24"/>
    <mergeCell ref="D3:I4"/>
    <mergeCell ref="D6:I6"/>
    <mergeCell ref="B5:I5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4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F8593-6DE7-45F3-87A5-D0D4C3A94196}">
  <sheetPr>
    <tabColor theme="9"/>
  </sheetPr>
  <dimension ref="B2:H83"/>
  <sheetViews>
    <sheetView showGridLines="0" topLeftCell="A77" zoomScaleNormal="100" workbookViewId="0">
      <selection activeCell="B74" sqref="B74:E83"/>
    </sheetView>
  </sheetViews>
  <sheetFormatPr defaultColWidth="9.140625" defaultRowHeight="25.5"/>
  <cols>
    <col min="1" max="1" width="4.85546875" style="479" customWidth="1"/>
    <col min="2" max="2" width="11" style="587" customWidth="1"/>
    <col min="3" max="3" width="129.5703125" style="588" customWidth="1"/>
    <col min="4" max="4" width="28" style="589" customWidth="1"/>
    <col min="5" max="5" width="29.28515625" style="590" customWidth="1"/>
    <col min="6" max="6" width="6.140625" style="478" customWidth="1"/>
    <col min="7" max="7" width="9.140625" style="479"/>
    <col min="8" max="8" width="21.28515625" style="479" customWidth="1"/>
    <col min="9" max="16384" width="9.140625" style="479"/>
  </cols>
  <sheetData>
    <row r="2" spans="2:6" ht="33.75" customHeight="1">
      <c r="B2" s="881" t="s">
        <v>1141</v>
      </c>
      <c r="C2" s="882"/>
      <c r="D2" s="882"/>
      <c r="E2" s="883"/>
    </row>
    <row r="3" spans="2:6" ht="33.75" customHeight="1">
      <c r="B3" s="884" t="s">
        <v>112</v>
      </c>
      <c r="C3" s="884"/>
      <c r="D3" s="884"/>
      <c r="E3" s="884"/>
      <c r="F3" s="480"/>
    </row>
    <row r="4" spans="2:6" ht="35.25" customHeight="1">
      <c r="B4" s="481" t="s">
        <v>56</v>
      </c>
      <c r="C4" s="481" t="s">
        <v>62</v>
      </c>
      <c r="D4" s="482" t="s">
        <v>63</v>
      </c>
      <c r="E4" s="483" t="s">
        <v>64</v>
      </c>
      <c r="F4" s="480"/>
    </row>
    <row r="5" spans="2:6" ht="31.5" customHeight="1">
      <c r="B5" s="484">
        <v>1</v>
      </c>
      <c r="C5" s="485" t="s">
        <v>65</v>
      </c>
      <c r="D5" s="486"/>
      <c r="E5" s="487"/>
      <c r="F5" s="480"/>
    </row>
    <row r="6" spans="2:6" ht="30.75" customHeight="1">
      <c r="B6" s="488" t="s">
        <v>6</v>
      </c>
      <c r="C6" s="489" t="s">
        <v>113</v>
      </c>
      <c r="D6" s="490"/>
      <c r="E6" s="491">
        <v>4750</v>
      </c>
      <c r="F6" s="480"/>
    </row>
    <row r="7" spans="2:6" ht="27" customHeight="1">
      <c r="B7" s="488" t="s">
        <v>7</v>
      </c>
      <c r="C7" s="489" t="s">
        <v>114</v>
      </c>
      <c r="D7" s="490"/>
      <c r="E7" s="492"/>
      <c r="F7" s="480"/>
    </row>
    <row r="8" spans="2:6" ht="27" customHeight="1">
      <c r="B8" s="488"/>
      <c r="C8" s="493" t="s">
        <v>1130</v>
      </c>
      <c r="D8" s="494">
        <v>1518</v>
      </c>
      <c r="E8" s="492"/>
      <c r="F8" s="480"/>
    </row>
    <row r="9" spans="2:6" ht="27.75" customHeight="1">
      <c r="B9" s="488" t="s">
        <v>8</v>
      </c>
      <c r="C9" s="489" t="s">
        <v>66</v>
      </c>
      <c r="D9" s="495">
        <v>0.2</v>
      </c>
      <c r="E9" s="496">
        <f>D9*D8</f>
        <v>303.60000000000002</v>
      </c>
      <c r="F9" s="480"/>
    </row>
    <row r="10" spans="2:6" ht="29.25" customHeight="1">
      <c r="B10" s="488" t="s">
        <v>9</v>
      </c>
      <c r="C10" s="489" t="s">
        <v>67</v>
      </c>
      <c r="D10" s="490"/>
      <c r="E10" s="492"/>
      <c r="F10" s="480"/>
    </row>
    <row r="11" spans="2:6" ht="29.25" customHeight="1">
      <c r="B11" s="488" t="s">
        <v>10</v>
      </c>
      <c r="C11" s="489" t="s">
        <v>68</v>
      </c>
      <c r="D11" s="490"/>
      <c r="E11" s="492"/>
      <c r="F11" s="480"/>
    </row>
    <row r="12" spans="2:6" ht="30.75" customHeight="1">
      <c r="B12" s="488" t="s">
        <v>11</v>
      </c>
      <c r="C12" s="489" t="s">
        <v>69</v>
      </c>
      <c r="D12" s="490"/>
      <c r="E12" s="492"/>
      <c r="F12" s="480"/>
    </row>
    <row r="13" spans="2:6" ht="33" customHeight="1">
      <c r="B13" s="885" t="s">
        <v>115</v>
      </c>
      <c r="C13" s="886"/>
      <c r="D13" s="497"/>
      <c r="E13" s="498">
        <f>SUM(E6:E12)</f>
        <v>5053.6000000000004</v>
      </c>
      <c r="F13" s="480"/>
    </row>
    <row r="14" spans="2:6" ht="33" customHeight="1">
      <c r="B14" s="488"/>
      <c r="C14" s="499" t="s">
        <v>116</v>
      </c>
      <c r="D14" s="490"/>
      <c r="E14" s="492"/>
      <c r="F14" s="480"/>
    </row>
    <row r="15" spans="2:6" ht="31.5" customHeight="1">
      <c r="B15" s="488" t="s">
        <v>12</v>
      </c>
      <c r="C15" s="500" t="s">
        <v>117</v>
      </c>
      <c r="D15" s="490"/>
      <c r="E15" s="501"/>
      <c r="F15" s="480"/>
    </row>
    <row r="16" spans="2:6" ht="31.5" customHeight="1">
      <c r="B16" s="488" t="s">
        <v>13</v>
      </c>
      <c r="C16" s="502" t="s">
        <v>1131</v>
      </c>
      <c r="D16" s="490"/>
      <c r="E16" s="501"/>
      <c r="F16" s="480"/>
    </row>
    <row r="17" spans="2:8" ht="33.75" customHeight="1">
      <c r="B17" s="484">
        <v>1</v>
      </c>
      <c r="C17" s="503" t="s">
        <v>118</v>
      </c>
      <c r="D17" s="504"/>
      <c r="E17" s="505">
        <f>E13+E15</f>
        <v>5053.6000000000004</v>
      </c>
      <c r="F17" s="480"/>
    </row>
    <row r="18" spans="2:8" ht="33.75" customHeight="1">
      <c r="B18" s="484">
        <v>2</v>
      </c>
      <c r="C18" s="485" t="s">
        <v>119</v>
      </c>
      <c r="D18" s="486"/>
      <c r="E18" s="487"/>
      <c r="F18" s="480"/>
    </row>
    <row r="19" spans="2:8" ht="33.75" customHeight="1">
      <c r="B19" s="497"/>
      <c r="C19" s="506" t="s">
        <v>120</v>
      </c>
      <c r="D19" s="507"/>
      <c r="E19" s="508"/>
      <c r="F19" s="480"/>
    </row>
    <row r="20" spans="2:8" ht="33.75" customHeight="1">
      <c r="B20" s="509" t="s">
        <v>6</v>
      </c>
      <c r="C20" s="510" t="s">
        <v>70</v>
      </c>
      <c r="D20" s="511"/>
      <c r="E20" s="512">
        <f>Escala_enfermeiro_2025!J22</f>
        <v>719.4</v>
      </c>
      <c r="F20" s="480"/>
    </row>
    <row r="21" spans="2:8" ht="33.75" customHeight="1">
      <c r="B21" s="509" t="s">
        <v>7</v>
      </c>
      <c r="C21" s="510" t="s">
        <v>121</v>
      </c>
      <c r="D21" s="511"/>
      <c r="E21" s="513">
        <f>ROUND(IF(ABS(-0.06*E6)&gt;E20,-1*E20,-6/100*E6),2)</f>
        <v>-285</v>
      </c>
      <c r="F21" s="480"/>
      <c r="H21" s="514">
        <f>-0.06*E6</f>
        <v>-285</v>
      </c>
    </row>
    <row r="22" spans="2:8" ht="33.75" customHeight="1">
      <c r="B22" s="509" t="s">
        <v>8</v>
      </c>
      <c r="C22" s="510" t="s">
        <v>122</v>
      </c>
      <c r="D22" s="511"/>
      <c r="E22" s="512">
        <f>Escala_enfermeiro_2025!H32</f>
        <v>616</v>
      </c>
      <c r="F22" s="480"/>
    </row>
    <row r="23" spans="2:8" ht="33.75" customHeight="1">
      <c r="B23" s="509" t="s">
        <v>9</v>
      </c>
      <c r="C23" s="16" t="s">
        <v>1144</v>
      </c>
      <c r="D23" s="511"/>
      <c r="E23" s="515">
        <v>200</v>
      </c>
      <c r="F23" s="480"/>
    </row>
    <row r="24" spans="2:8" ht="33.75" customHeight="1">
      <c r="B24" s="509" t="s">
        <v>10</v>
      </c>
      <c r="C24" s="16" t="s">
        <v>1132</v>
      </c>
      <c r="D24" s="511"/>
      <c r="E24" s="515">
        <v>0</v>
      </c>
      <c r="F24" s="480"/>
    </row>
    <row r="25" spans="2:8" ht="33.75" customHeight="1">
      <c r="B25" s="509" t="s">
        <v>11</v>
      </c>
      <c r="C25" s="16" t="s">
        <v>1133</v>
      </c>
      <c r="D25" s="511"/>
      <c r="E25" s="515">
        <v>10</v>
      </c>
      <c r="F25" s="480"/>
    </row>
    <row r="26" spans="2:8" ht="33.75" customHeight="1">
      <c r="B26" s="509" t="s">
        <v>12</v>
      </c>
      <c r="C26" s="16" t="s">
        <v>111</v>
      </c>
      <c r="D26" s="511"/>
      <c r="E26" s="515">
        <v>0</v>
      </c>
      <c r="F26" s="480"/>
    </row>
    <row r="27" spans="2:8" ht="33.75" customHeight="1">
      <c r="B27" s="516"/>
      <c r="C27" s="517" t="s">
        <v>123</v>
      </c>
      <c r="D27" s="518"/>
      <c r="E27" s="519">
        <f>SUM(E20:E26)</f>
        <v>1260.4000000000001</v>
      </c>
      <c r="F27" s="480"/>
    </row>
    <row r="28" spans="2:8" ht="33.75" customHeight="1">
      <c r="B28" s="520"/>
      <c r="C28" s="506" t="s">
        <v>124</v>
      </c>
      <c r="D28" s="521"/>
      <c r="E28" s="522"/>
      <c r="F28" s="480"/>
    </row>
    <row r="29" spans="2:8" ht="33.75" customHeight="1">
      <c r="B29" s="509" t="s">
        <v>6</v>
      </c>
      <c r="C29" s="510" t="s">
        <v>125</v>
      </c>
      <c r="D29" s="511">
        <v>0.2</v>
      </c>
      <c r="E29" s="512">
        <f>D29*E$13</f>
        <v>1010.7200000000001</v>
      </c>
      <c r="F29" s="480"/>
    </row>
    <row r="30" spans="2:8" ht="51.75" customHeight="1">
      <c r="B30" s="509" t="s">
        <v>7</v>
      </c>
      <c r="C30" s="510" t="s">
        <v>1134</v>
      </c>
      <c r="D30" s="523">
        <v>1.4999999999999999E-2</v>
      </c>
      <c r="E30" s="512">
        <f t="shared" ref="E30:E36" si="0">D30*E$13</f>
        <v>75.804000000000002</v>
      </c>
      <c r="F30" s="480"/>
    </row>
    <row r="31" spans="2:8" ht="51" customHeight="1">
      <c r="B31" s="509" t="s">
        <v>8</v>
      </c>
      <c r="C31" s="524" t="s">
        <v>196</v>
      </c>
      <c r="D31" s="523">
        <v>0.01</v>
      </c>
      <c r="E31" s="512">
        <f t="shared" si="0"/>
        <v>50.536000000000001</v>
      </c>
      <c r="F31" s="480"/>
    </row>
    <row r="32" spans="2:8" ht="33.75" customHeight="1">
      <c r="B32" s="509" t="s">
        <v>9</v>
      </c>
      <c r="C32" s="510" t="s">
        <v>126</v>
      </c>
      <c r="D32" s="523">
        <v>2E-3</v>
      </c>
      <c r="E32" s="512">
        <f t="shared" si="0"/>
        <v>10.107200000000001</v>
      </c>
      <c r="F32" s="480"/>
    </row>
    <row r="33" spans="2:6" ht="33.75" customHeight="1">
      <c r="B33" s="509" t="s">
        <v>10</v>
      </c>
      <c r="C33" s="510" t="s">
        <v>127</v>
      </c>
      <c r="D33" s="523">
        <v>2.5000000000000001E-2</v>
      </c>
      <c r="E33" s="512">
        <f t="shared" si="0"/>
        <v>126.34000000000002</v>
      </c>
      <c r="F33" s="480"/>
    </row>
    <row r="34" spans="2:6" ht="33.75" customHeight="1">
      <c r="B34" s="525" t="s">
        <v>11</v>
      </c>
      <c r="C34" s="526" t="s">
        <v>128</v>
      </c>
      <c r="D34" s="527">
        <v>0.08</v>
      </c>
      <c r="E34" s="512">
        <f t="shared" si="0"/>
        <v>404.28800000000001</v>
      </c>
      <c r="F34" s="480"/>
    </row>
    <row r="35" spans="2:6" ht="33.75" customHeight="1">
      <c r="B35" s="509" t="s">
        <v>12</v>
      </c>
      <c r="C35" s="510" t="s">
        <v>197</v>
      </c>
      <c r="D35" s="523">
        <f>1%*1</f>
        <v>0.01</v>
      </c>
      <c r="E35" s="512">
        <f t="shared" si="0"/>
        <v>50.536000000000001</v>
      </c>
      <c r="F35" s="480"/>
    </row>
    <row r="36" spans="2:6" ht="33.75" customHeight="1">
      <c r="B36" s="509" t="s">
        <v>13</v>
      </c>
      <c r="C36" s="510" t="s">
        <v>129</v>
      </c>
      <c r="D36" s="527">
        <v>6.0000000000000001E-3</v>
      </c>
      <c r="E36" s="512">
        <f t="shared" si="0"/>
        <v>30.321600000000004</v>
      </c>
      <c r="F36" s="480"/>
    </row>
    <row r="37" spans="2:6" ht="33.75" customHeight="1">
      <c r="B37" s="528"/>
      <c r="C37" s="517" t="s">
        <v>130</v>
      </c>
      <c r="D37" s="518">
        <f>SUM(D29:D36)</f>
        <v>0.34800000000000009</v>
      </c>
      <c r="E37" s="519">
        <f>SUM(E29:E36)</f>
        <v>1758.6528000000001</v>
      </c>
      <c r="F37" s="480"/>
    </row>
    <row r="38" spans="2:6" ht="33.75" customHeight="1">
      <c r="B38" s="520"/>
      <c r="C38" s="506" t="s">
        <v>131</v>
      </c>
      <c r="D38" s="521"/>
      <c r="E38" s="529"/>
      <c r="F38" s="480"/>
    </row>
    <row r="39" spans="2:6" ht="33.75" customHeight="1">
      <c r="B39" s="488" t="s">
        <v>6</v>
      </c>
      <c r="C39" s="530" t="s">
        <v>76</v>
      </c>
      <c r="D39" s="490">
        <f>1/12</f>
        <v>8.3333333333333329E-2</v>
      </c>
      <c r="E39" s="492">
        <f>D39*E$13</f>
        <v>421.13333333333333</v>
      </c>
      <c r="F39" s="480"/>
    </row>
    <row r="40" spans="2:6" ht="33.75" customHeight="1" thickBot="1">
      <c r="B40" s="531" t="s">
        <v>7</v>
      </c>
      <c r="C40" s="532" t="s">
        <v>77</v>
      </c>
      <c r="D40" s="533">
        <f>1/3*1/12</f>
        <v>2.7777777777777776E-2</v>
      </c>
      <c r="E40" s="492">
        <f>D40*E$13</f>
        <v>140.37777777777779</v>
      </c>
      <c r="F40" s="480"/>
    </row>
    <row r="41" spans="2:6" ht="33.75" customHeight="1" thickBot="1">
      <c r="B41" s="534" t="s">
        <v>8</v>
      </c>
      <c r="C41" s="535" t="s">
        <v>132</v>
      </c>
      <c r="D41" s="536">
        <f>D37*(D39+D40)</f>
        <v>3.8666666666666676E-2</v>
      </c>
      <c r="E41" s="537">
        <f>D41*E$13</f>
        <v>195.40586666666672</v>
      </c>
      <c r="F41" s="480"/>
    </row>
    <row r="42" spans="2:6" ht="33.75" customHeight="1">
      <c r="B42" s="80" t="s">
        <v>9</v>
      </c>
      <c r="C42" s="81" t="s">
        <v>133</v>
      </c>
      <c r="D42" s="82">
        <f>8/100*40/100*(D39+D40)</f>
        <v>3.5555555555555553E-3</v>
      </c>
      <c r="E42" s="538">
        <f>D42*E$13</f>
        <v>17.968355555555554</v>
      </c>
      <c r="F42" s="480"/>
    </row>
    <row r="43" spans="2:6" ht="31.5" customHeight="1">
      <c r="B43" s="528"/>
      <c r="C43" s="517" t="s">
        <v>134</v>
      </c>
      <c r="D43" s="518">
        <f>SUM(D39:D42)</f>
        <v>0.15333333333333335</v>
      </c>
      <c r="E43" s="519">
        <f>SUM(E39:E42)</f>
        <v>774.88533333333351</v>
      </c>
      <c r="F43" s="480"/>
    </row>
    <row r="44" spans="2:6" ht="33.75" customHeight="1">
      <c r="B44" s="528"/>
      <c r="C44" s="516" t="s">
        <v>135</v>
      </c>
      <c r="D44" s="521"/>
      <c r="E44" s="522"/>
      <c r="F44" s="480"/>
    </row>
    <row r="45" spans="2:6" ht="33.75" customHeight="1" thickBot="1">
      <c r="B45" s="539" t="s">
        <v>6</v>
      </c>
      <c r="C45" s="540" t="s">
        <v>136</v>
      </c>
      <c r="D45" s="541">
        <f>(1+1/3)/12*2/100*4/12</f>
        <v>7.407407407407407E-4</v>
      </c>
      <c r="E45" s="542">
        <f>D45*E$13</f>
        <v>3.7434074074074073</v>
      </c>
      <c r="F45" s="480"/>
    </row>
    <row r="46" spans="2:6" ht="33" customHeight="1" thickBot="1">
      <c r="B46" s="543" t="s">
        <v>7</v>
      </c>
      <c r="C46" s="544" t="s">
        <v>137</v>
      </c>
      <c r="D46" s="545">
        <f>D37*D45</f>
        <v>2.5777777777777783E-4</v>
      </c>
      <c r="E46" s="546">
        <f>D46*E$13</f>
        <v>1.3027057777777782</v>
      </c>
      <c r="F46" s="480"/>
    </row>
    <row r="47" spans="2:6" ht="34.5" customHeight="1">
      <c r="B47" s="547"/>
      <c r="C47" s="548" t="s">
        <v>138</v>
      </c>
      <c r="D47" s="549">
        <f>SUM(D45:D46)</f>
        <v>9.9851851851851859E-4</v>
      </c>
      <c r="E47" s="550">
        <f>E45+E46</f>
        <v>5.0461131851851855</v>
      </c>
      <c r="F47" s="480"/>
    </row>
    <row r="48" spans="2:6" ht="39.75" customHeight="1">
      <c r="B48" s="484">
        <v>2</v>
      </c>
      <c r="C48" s="503" t="s">
        <v>139</v>
      </c>
      <c r="D48" s="504"/>
      <c r="E48" s="505">
        <f>E27+E37+E43+E47</f>
        <v>3798.9842465185193</v>
      </c>
      <c r="F48" s="480"/>
    </row>
    <row r="49" spans="2:6" ht="33" customHeight="1">
      <c r="B49" s="484">
        <v>3</v>
      </c>
      <c r="C49" s="485" t="s">
        <v>140</v>
      </c>
      <c r="D49" s="486"/>
      <c r="E49" s="487"/>
      <c r="F49" s="480"/>
    </row>
    <row r="50" spans="2:6" ht="39" customHeight="1">
      <c r="B50" s="531" t="s">
        <v>6</v>
      </c>
      <c r="C50" s="532" t="s">
        <v>78</v>
      </c>
      <c r="D50" s="533">
        <f>1/12*3.5/100</f>
        <v>2.9166666666666664E-3</v>
      </c>
      <c r="E50" s="551">
        <f>D50*E$13</f>
        <v>14.739666666666666</v>
      </c>
      <c r="F50" s="480"/>
    </row>
    <row r="51" spans="2:6" ht="39" customHeight="1" thickBot="1">
      <c r="B51" s="552" t="s">
        <v>7</v>
      </c>
      <c r="C51" s="553" t="s">
        <v>1135</v>
      </c>
      <c r="D51" s="533">
        <f>1/12*3.5/100*(1/12+(1+1/3)/12)</f>
        <v>5.6712962962962945E-4</v>
      </c>
      <c r="E51" s="551">
        <f>D51*E$13</f>
        <v>2.8660462962962958</v>
      </c>
      <c r="F51" s="480"/>
    </row>
    <row r="52" spans="2:6" ht="35.25" customHeight="1" thickBot="1">
      <c r="B52" s="534" t="s">
        <v>8</v>
      </c>
      <c r="C52" s="554" t="s">
        <v>205</v>
      </c>
      <c r="D52" s="555">
        <f>(D37-D34)*1/12*3.5/100*1/12</f>
        <v>6.5138888888888912E-5</v>
      </c>
      <c r="E52" s="537">
        <f>D52*E$13</f>
        <v>0.32918588888888906</v>
      </c>
      <c r="F52" s="480"/>
    </row>
    <row r="53" spans="2:6" ht="31.5" customHeight="1">
      <c r="B53" s="556" t="s">
        <v>9</v>
      </c>
      <c r="C53" s="557" t="s">
        <v>204</v>
      </c>
      <c r="D53" s="558">
        <f>8/100*(D50+D51)</f>
        <v>2.7870370370370364E-4</v>
      </c>
      <c r="E53" s="538">
        <f>D53*E$13</f>
        <v>1.4084570370370368</v>
      </c>
      <c r="F53" s="480"/>
    </row>
    <row r="54" spans="2:6" ht="31.5" customHeight="1">
      <c r="B54" s="488" t="s">
        <v>10</v>
      </c>
      <c r="C54" s="489" t="s">
        <v>79</v>
      </c>
      <c r="D54" s="533">
        <f>8/100*40/100</f>
        <v>3.2000000000000001E-2</v>
      </c>
      <c r="E54" s="538">
        <f t="shared" ref="E54:E55" si="1">D54*E$13</f>
        <v>161.71520000000001</v>
      </c>
      <c r="F54" s="480"/>
    </row>
    <row r="55" spans="2:6" ht="29.25" customHeight="1">
      <c r="B55" s="509" t="s">
        <v>11</v>
      </c>
      <c r="C55" s="510" t="s">
        <v>80</v>
      </c>
      <c r="D55" s="533">
        <f>1/12*1/100</f>
        <v>8.3333333333333328E-4</v>
      </c>
      <c r="E55" s="538">
        <f t="shared" si="1"/>
        <v>4.2113333333333332</v>
      </c>
      <c r="F55" s="480"/>
    </row>
    <row r="56" spans="2:6" ht="32.25" customHeight="1">
      <c r="B56" s="484">
        <v>3</v>
      </c>
      <c r="C56" s="559" t="s">
        <v>141</v>
      </c>
      <c r="D56" s="560">
        <f>SUM(D50:D55)</f>
        <v>3.666097222222222E-2</v>
      </c>
      <c r="E56" s="561">
        <f>SUM(E50:E55)</f>
        <v>185.26988922222222</v>
      </c>
      <c r="F56" s="480"/>
    </row>
    <row r="57" spans="2:6" ht="33" customHeight="1">
      <c r="B57" s="484">
        <v>4</v>
      </c>
      <c r="C57" s="485" t="s">
        <v>142</v>
      </c>
      <c r="D57" s="486"/>
      <c r="E57" s="487"/>
      <c r="F57" s="480"/>
    </row>
    <row r="58" spans="2:6" ht="33" customHeight="1">
      <c r="B58" s="509" t="s">
        <v>6</v>
      </c>
      <c r="C58" s="553" t="s">
        <v>81</v>
      </c>
      <c r="D58" s="511">
        <f>1/12</f>
        <v>8.3333333333333329E-2</v>
      </c>
      <c r="E58" s="512">
        <f>D58*E$13</f>
        <v>421.13333333333333</v>
      </c>
      <c r="F58" s="480"/>
    </row>
    <row r="59" spans="2:6" ht="30.75" customHeight="1">
      <c r="B59" s="509" t="s">
        <v>7</v>
      </c>
      <c r="C59" s="562" t="s">
        <v>143</v>
      </c>
      <c r="D59" s="511">
        <f>5/30*1/12*1.5/100</f>
        <v>2.0833333333333332E-4</v>
      </c>
      <c r="E59" s="512">
        <f t="shared" ref="E59:E61" si="2">D59*E$13</f>
        <v>1.0528333333333333</v>
      </c>
      <c r="F59" s="480"/>
    </row>
    <row r="60" spans="2:6" ht="35.25" customHeight="1">
      <c r="B60" s="509" t="s">
        <v>8</v>
      </c>
      <c r="C60" s="562" t="s">
        <v>144</v>
      </c>
      <c r="D60" s="511">
        <f>1/30*1/12</f>
        <v>2.7777777777777779E-3</v>
      </c>
      <c r="E60" s="512">
        <f t="shared" si="2"/>
        <v>14.03777777777778</v>
      </c>
      <c r="F60" s="480"/>
    </row>
    <row r="61" spans="2:6" ht="29.25" customHeight="1" thickBot="1">
      <c r="B61" s="539" t="s">
        <v>9</v>
      </c>
      <c r="C61" s="563" t="s">
        <v>83</v>
      </c>
      <c r="D61" s="541">
        <f>7/30*1/12*5/100</f>
        <v>9.7222222222222219E-4</v>
      </c>
      <c r="E61" s="512">
        <f t="shared" si="2"/>
        <v>4.9132222222222222</v>
      </c>
      <c r="F61" s="564"/>
    </row>
    <row r="62" spans="2:6" ht="36" customHeight="1" thickBot="1">
      <c r="B62" s="543" t="s">
        <v>10</v>
      </c>
      <c r="C62" s="565" t="s">
        <v>191</v>
      </c>
      <c r="D62" s="536">
        <f>D37*SUM(D58:D61)</f>
        <v>3.0377500000000009E-2</v>
      </c>
      <c r="E62" s="546">
        <f>D62*E$13</f>
        <v>153.51573400000007</v>
      </c>
      <c r="F62" s="480"/>
    </row>
    <row r="63" spans="2:6" ht="39" customHeight="1">
      <c r="B63" s="566" t="s">
        <v>11</v>
      </c>
      <c r="C63" s="567" t="s">
        <v>198</v>
      </c>
      <c r="D63" s="568">
        <f>4.14/30*1/12</f>
        <v>1.1499999999999998E-2</v>
      </c>
      <c r="E63" s="569">
        <f>D63*E$13</f>
        <v>58.116399999999992</v>
      </c>
      <c r="F63" s="570"/>
    </row>
    <row r="64" spans="2:6" ht="38.25" customHeight="1" thickBot="1">
      <c r="B64" s="539" t="s">
        <v>12</v>
      </c>
      <c r="C64" s="571" t="s">
        <v>193</v>
      </c>
      <c r="D64" s="541">
        <f>15/30*1/12*8/100</f>
        <v>3.3333333333333331E-3</v>
      </c>
      <c r="E64" s="542">
        <f>D64*E$13</f>
        <v>16.845333333333333</v>
      </c>
      <c r="F64" s="480"/>
    </row>
    <row r="65" spans="2:8" ht="37.5" customHeight="1" thickBot="1">
      <c r="B65" s="543" t="s">
        <v>13</v>
      </c>
      <c r="C65" s="565" t="s">
        <v>199</v>
      </c>
      <c r="D65" s="545">
        <f>(D43+D47+D56)*(D58+D59+D60+D61+D63+D64)</f>
        <v>1.9505142158564814E-2</v>
      </c>
      <c r="E65" s="546">
        <f>D65*E$13</f>
        <v>98.571186412523147</v>
      </c>
      <c r="F65" s="480"/>
    </row>
    <row r="66" spans="2:8" ht="36" customHeight="1">
      <c r="B66" s="572">
        <v>4</v>
      </c>
      <c r="C66" s="573" t="s">
        <v>145</v>
      </c>
      <c r="D66" s="574">
        <f>SUM(D58:D65)</f>
        <v>0.15200764215856483</v>
      </c>
      <c r="E66" s="575">
        <f>SUM(E58:E65)</f>
        <v>768.18582041252319</v>
      </c>
      <c r="F66" s="480"/>
    </row>
    <row r="67" spans="2:8" ht="36" customHeight="1">
      <c r="B67" s="887" t="s">
        <v>200</v>
      </c>
      <c r="C67" s="888"/>
      <c r="D67" s="576">
        <f>D37+D43+D47+D56+D66</f>
        <v>0.691000466232639</v>
      </c>
      <c r="E67" s="577">
        <f>E37+E43+E47+E56+E66</f>
        <v>3492.0399561532645</v>
      </c>
      <c r="F67" s="480"/>
      <c r="H67" s="578">
        <f>D67*E13</f>
        <v>3492.0399561532645</v>
      </c>
    </row>
    <row r="68" spans="2:8" ht="36.75" customHeight="1">
      <c r="B68" s="484">
        <v>5</v>
      </c>
      <c r="C68" s="485" t="s">
        <v>146</v>
      </c>
      <c r="D68" s="486"/>
      <c r="E68" s="487"/>
      <c r="F68" s="480"/>
    </row>
    <row r="69" spans="2:8" ht="32.25" customHeight="1">
      <c r="B69" s="509" t="s">
        <v>6</v>
      </c>
      <c r="C69" s="510" t="s">
        <v>71</v>
      </c>
      <c r="D69" s="511"/>
      <c r="E69" s="17">
        <f>Custo_Direito_Uniforme!S12</f>
        <v>113.25</v>
      </c>
      <c r="F69" s="480"/>
    </row>
    <row r="70" spans="2:8" ht="28.5" customHeight="1">
      <c r="B70" s="509" t="s">
        <v>7</v>
      </c>
      <c r="C70" s="510" t="s">
        <v>147</v>
      </c>
      <c r="D70" s="579"/>
      <c r="E70" s="580"/>
      <c r="F70" s="480"/>
    </row>
    <row r="71" spans="2:8" ht="30" customHeight="1">
      <c r="B71" s="509" t="s">
        <v>8</v>
      </c>
      <c r="C71" s="510" t="s">
        <v>148</v>
      </c>
      <c r="D71" s="579"/>
      <c r="E71" s="512"/>
      <c r="F71" s="480"/>
    </row>
    <row r="72" spans="2:8" ht="32.25" customHeight="1">
      <c r="B72" s="484">
        <v>5</v>
      </c>
      <c r="C72" s="503" t="s">
        <v>149</v>
      </c>
      <c r="D72" s="504"/>
      <c r="E72" s="83">
        <f>SUM(E69:E71)</f>
        <v>113.25</v>
      </c>
      <c r="F72" s="480"/>
    </row>
    <row r="73" spans="2:8" ht="33" customHeight="1">
      <c r="B73" s="889" t="s">
        <v>1163</v>
      </c>
      <c r="C73" s="890"/>
      <c r="D73" s="581"/>
      <c r="E73" s="582">
        <f>ROUND((E17+E48+E56+E66+E72),2)</f>
        <v>9919.2900000000009</v>
      </c>
      <c r="F73" s="480"/>
      <c r="H73" s="578">
        <f>ROUND((E72+H67+E17+E27),2)</f>
        <v>9919.2900000000009</v>
      </c>
    </row>
    <row r="74" spans="2:8" ht="33" customHeight="1">
      <c r="B74" s="583" t="s">
        <v>1136</v>
      </c>
      <c r="C74" s="584"/>
      <c r="D74" s="584"/>
      <c r="E74" s="585"/>
      <c r="F74" s="480"/>
    </row>
    <row r="75" spans="2:8" ht="39" customHeight="1">
      <c r="B75" s="586" t="s">
        <v>1137</v>
      </c>
      <c r="C75" s="880" t="s">
        <v>707</v>
      </c>
      <c r="D75" s="880"/>
      <c r="E75" s="880"/>
      <c r="F75" s="480"/>
    </row>
    <row r="76" spans="2:8" ht="68.25" customHeight="1">
      <c r="B76" s="586" t="s">
        <v>1138</v>
      </c>
      <c r="C76" s="878" t="s">
        <v>1142</v>
      </c>
      <c r="D76" s="878"/>
      <c r="E76" s="878"/>
      <c r="F76" s="480"/>
    </row>
    <row r="77" spans="2:8" ht="74.25" customHeight="1">
      <c r="B77" s="586" t="s">
        <v>1139</v>
      </c>
      <c r="C77" s="878" t="s">
        <v>1203</v>
      </c>
      <c r="D77" s="878"/>
      <c r="E77" s="878"/>
      <c r="F77" s="480"/>
    </row>
    <row r="78" spans="2:8" ht="69.75" customHeight="1">
      <c r="B78" s="586" t="s">
        <v>1140</v>
      </c>
      <c r="C78" s="878" t="s">
        <v>1149</v>
      </c>
      <c r="D78" s="878"/>
      <c r="E78" s="878"/>
      <c r="F78" s="480"/>
    </row>
    <row r="79" spans="2:8" ht="67.5" customHeight="1">
      <c r="B79" s="586" t="s">
        <v>1145</v>
      </c>
      <c r="C79" s="878" t="s">
        <v>1146</v>
      </c>
      <c r="D79" s="878"/>
      <c r="E79" s="878"/>
      <c r="F79" s="480"/>
    </row>
    <row r="80" spans="2:8" ht="67.5" customHeight="1">
      <c r="B80" s="586" t="s">
        <v>1148</v>
      </c>
      <c r="C80" s="878" t="s">
        <v>1147</v>
      </c>
      <c r="D80" s="878"/>
      <c r="E80" s="878"/>
      <c r="F80" s="480"/>
    </row>
    <row r="81" spans="2:6" ht="63.75" customHeight="1">
      <c r="B81" s="586" t="s">
        <v>1151</v>
      </c>
      <c r="C81" s="879" t="s">
        <v>1150</v>
      </c>
      <c r="D81" s="879"/>
      <c r="E81" s="879"/>
      <c r="F81" s="480"/>
    </row>
    <row r="82" spans="2:6" ht="65.25" customHeight="1">
      <c r="B82" s="586" t="s">
        <v>1152</v>
      </c>
      <c r="C82" s="878" t="s">
        <v>1153</v>
      </c>
      <c r="D82" s="878"/>
      <c r="E82" s="878"/>
      <c r="F82" s="480"/>
    </row>
    <row r="83" spans="2:6" ht="68.25" customHeight="1">
      <c r="B83" s="586" t="s">
        <v>1154</v>
      </c>
      <c r="C83" s="878" t="s">
        <v>1162</v>
      </c>
      <c r="D83" s="878"/>
      <c r="E83" s="878"/>
    </row>
  </sheetData>
  <mergeCells count="14">
    <mergeCell ref="C75:E75"/>
    <mergeCell ref="B2:E2"/>
    <mergeCell ref="B3:E3"/>
    <mergeCell ref="B13:C13"/>
    <mergeCell ref="B67:C67"/>
    <mergeCell ref="B73:C73"/>
    <mergeCell ref="C83:E83"/>
    <mergeCell ref="C76:E76"/>
    <mergeCell ref="C81:E81"/>
    <mergeCell ref="C82:E82"/>
    <mergeCell ref="C77:E77"/>
    <mergeCell ref="C78:E78"/>
    <mergeCell ref="C79:E79"/>
    <mergeCell ref="C80:E80"/>
  </mergeCells>
  <printOptions horizontalCentered="1" verticalCentered="1"/>
  <pageMargins left="0.39370078740157483" right="0.39370078740157483" top="0.39370078740157483" bottom="0.39370078740157483" header="0" footer="0"/>
  <pageSetup paperSize="9" scale="30" orientation="portrait" r:id="rId1"/>
  <colBreaks count="1" manualBreakCount="1">
    <brk id="5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88790-73EE-4C6D-9B93-05F21C0F4DFB}">
  <sheetPr>
    <tabColor theme="9"/>
  </sheetPr>
  <dimension ref="B2:H83"/>
  <sheetViews>
    <sheetView showGridLines="0" topLeftCell="A66" zoomScaleNormal="100" workbookViewId="0">
      <selection activeCell="H76" sqref="H76"/>
    </sheetView>
  </sheetViews>
  <sheetFormatPr defaultColWidth="9.140625" defaultRowHeight="25.5"/>
  <cols>
    <col min="1" max="1" width="4.85546875" style="479" customWidth="1"/>
    <col min="2" max="2" width="11" style="587" customWidth="1"/>
    <col min="3" max="3" width="129.5703125" style="588" customWidth="1"/>
    <col min="4" max="4" width="28" style="589" customWidth="1"/>
    <col min="5" max="5" width="29.28515625" style="590" customWidth="1"/>
    <col min="6" max="6" width="6.140625" style="478" customWidth="1"/>
    <col min="7" max="7" width="9.140625" style="479"/>
    <col min="8" max="8" width="21.28515625" style="479" customWidth="1"/>
    <col min="9" max="16384" width="9.140625" style="479"/>
  </cols>
  <sheetData>
    <row r="2" spans="2:6" ht="33.75" customHeight="1">
      <c r="B2" s="881" t="s">
        <v>1171</v>
      </c>
      <c r="C2" s="882"/>
      <c r="D2" s="882"/>
      <c r="E2" s="883"/>
    </row>
    <row r="3" spans="2:6" ht="33.75" customHeight="1">
      <c r="B3" s="884" t="s">
        <v>112</v>
      </c>
      <c r="C3" s="884"/>
      <c r="D3" s="884"/>
      <c r="E3" s="884"/>
      <c r="F3" s="480"/>
    </row>
    <row r="4" spans="2:6" ht="35.25" customHeight="1">
      <c r="B4" s="481" t="s">
        <v>56</v>
      </c>
      <c r="C4" s="481" t="s">
        <v>62</v>
      </c>
      <c r="D4" s="482" t="s">
        <v>63</v>
      </c>
      <c r="E4" s="483" t="s">
        <v>64</v>
      </c>
      <c r="F4" s="480"/>
    </row>
    <row r="5" spans="2:6" ht="31.5" customHeight="1">
      <c r="B5" s="484">
        <v>1</v>
      </c>
      <c r="C5" s="485" t="s">
        <v>65</v>
      </c>
      <c r="D5" s="486"/>
      <c r="E5" s="487"/>
      <c r="F5" s="480"/>
    </row>
    <row r="6" spans="2:6" ht="30.75" customHeight="1">
      <c r="B6" s="488" t="s">
        <v>6</v>
      </c>
      <c r="C6" s="489" t="s">
        <v>113</v>
      </c>
      <c r="D6" s="490"/>
      <c r="E6" s="491">
        <v>4750</v>
      </c>
      <c r="F6" s="480"/>
    </row>
    <row r="7" spans="2:6" ht="27" customHeight="1">
      <c r="B7" s="488" t="s">
        <v>7</v>
      </c>
      <c r="C7" s="489" t="s">
        <v>114</v>
      </c>
      <c r="D7" s="490"/>
      <c r="E7" s="492"/>
      <c r="F7" s="480"/>
    </row>
    <row r="8" spans="2:6" ht="27" customHeight="1">
      <c r="B8" s="488"/>
      <c r="C8" s="493" t="s">
        <v>1130</v>
      </c>
      <c r="D8" s="494">
        <v>1518</v>
      </c>
      <c r="E8" s="492"/>
      <c r="F8" s="480"/>
    </row>
    <row r="9" spans="2:6" ht="27.75" customHeight="1">
      <c r="B9" s="488" t="s">
        <v>8</v>
      </c>
      <c r="C9" s="489" t="s">
        <v>66</v>
      </c>
      <c r="D9" s="495">
        <v>0.2</v>
      </c>
      <c r="E9" s="496">
        <f>D9*D8</f>
        <v>303.60000000000002</v>
      </c>
      <c r="F9" s="480"/>
    </row>
    <row r="10" spans="2:6" ht="29.25" customHeight="1">
      <c r="B10" s="488" t="s">
        <v>9</v>
      </c>
      <c r="C10" s="489" t="s">
        <v>67</v>
      </c>
      <c r="D10" s="490"/>
      <c r="E10" s="492"/>
      <c r="F10" s="480"/>
    </row>
    <row r="11" spans="2:6" ht="29.25" customHeight="1">
      <c r="B11" s="488" t="s">
        <v>10</v>
      </c>
      <c r="C11" s="489" t="s">
        <v>68</v>
      </c>
      <c r="D11" s="490"/>
      <c r="E11" s="492"/>
      <c r="F11" s="480"/>
    </row>
    <row r="12" spans="2:6" ht="30.75" customHeight="1">
      <c r="B12" s="488" t="s">
        <v>11</v>
      </c>
      <c r="C12" s="489" t="s">
        <v>69</v>
      </c>
      <c r="D12" s="490"/>
      <c r="E12" s="492"/>
      <c r="F12" s="480"/>
    </row>
    <row r="13" spans="2:6" ht="33" customHeight="1">
      <c r="B13" s="885" t="s">
        <v>115</v>
      </c>
      <c r="C13" s="886"/>
      <c r="D13" s="497"/>
      <c r="E13" s="498">
        <f>SUM(E6:E12)</f>
        <v>5053.6000000000004</v>
      </c>
      <c r="F13" s="480"/>
    </row>
    <row r="14" spans="2:6" ht="33" customHeight="1">
      <c r="B14" s="488"/>
      <c r="C14" s="499" t="s">
        <v>116</v>
      </c>
      <c r="D14" s="490"/>
      <c r="E14" s="492"/>
      <c r="F14" s="480"/>
    </row>
    <row r="15" spans="2:6" ht="31.5" customHeight="1">
      <c r="B15" s="488" t="s">
        <v>12</v>
      </c>
      <c r="C15" s="500" t="s">
        <v>117</v>
      </c>
      <c r="D15" s="490"/>
      <c r="E15" s="501"/>
      <c r="F15" s="480"/>
    </row>
    <row r="16" spans="2:6" ht="31.5" customHeight="1">
      <c r="B16" s="488" t="s">
        <v>13</v>
      </c>
      <c r="C16" s="502" t="s">
        <v>1131</v>
      </c>
      <c r="D16" s="490"/>
      <c r="E16" s="501"/>
      <c r="F16" s="480"/>
    </row>
    <row r="17" spans="2:8" ht="33.75" customHeight="1">
      <c r="B17" s="484">
        <v>1</v>
      </c>
      <c r="C17" s="503" t="s">
        <v>118</v>
      </c>
      <c r="D17" s="504"/>
      <c r="E17" s="505">
        <f>E13+E15</f>
        <v>5053.6000000000004</v>
      </c>
      <c r="F17" s="480"/>
    </row>
    <row r="18" spans="2:8" ht="33.75" customHeight="1">
      <c r="B18" s="484">
        <v>2</v>
      </c>
      <c r="C18" s="485" t="s">
        <v>119</v>
      </c>
      <c r="D18" s="486"/>
      <c r="E18" s="487"/>
      <c r="F18" s="480"/>
    </row>
    <row r="19" spans="2:8" ht="33.75" customHeight="1">
      <c r="B19" s="497"/>
      <c r="C19" s="506" t="s">
        <v>120</v>
      </c>
      <c r="D19" s="507"/>
      <c r="E19" s="508"/>
      <c r="F19" s="480"/>
    </row>
    <row r="20" spans="2:8" ht="33.75" customHeight="1">
      <c r="B20" s="509" t="s">
        <v>6</v>
      </c>
      <c r="C20" s="510" t="s">
        <v>70</v>
      </c>
      <c r="D20" s="511"/>
      <c r="E20" s="512">
        <f>Escala_enfermeiro_2025!J22</f>
        <v>719.4</v>
      </c>
      <c r="F20" s="480"/>
    </row>
    <row r="21" spans="2:8" ht="33.75" customHeight="1">
      <c r="B21" s="509" t="s">
        <v>7</v>
      </c>
      <c r="C21" s="510" t="s">
        <v>121</v>
      </c>
      <c r="D21" s="511"/>
      <c r="E21" s="513">
        <f>ROUND(IF(ABS(-0.06*E6)&gt;E20,-1*E20,-6/100*E6),2)</f>
        <v>-285</v>
      </c>
      <c r="F21" s="480"/>
      <c r="H21" s="514">
        <f>-0.06*E6</f>
        <v>-285</v>
      </c>
    </row>
    <row r="22" spans="2:8" ht="33.75" customHeight="1">
      <c r="B22" s="509" t="s">
        <v>8</v>
      </c>
      <c r="C22" s="510" t="s">
        <v>122</v>
      </c>
      <c r="D22" s="511"/>
      <c r="E22" s="512">
        <f>Escala_enfermeiro_2025!H32</f>
        <v>616</v>
      </c>
      <c r="F22" s="480"/>
    </row>
    <row r="23" spans="2:8" ht="33.75" customHeight="1">
      <c r="B23" s="509" t="s">
        <v>9</v>
      </c>
      <c r="C23" s="16" t="s">
        <v>1144</v>
      </c>
      <c r="D23" s="511"/>
      <c r="E23" s="515">
        <v>200</v>
      </c>
      <c r="F23" s="480"/>
    </row>
    <row r="24" spans="2:8" ht="33.75" customHeight="1">
      <c r="B24" s="509" t="s">
        <v>10</v>
      </c>
      <c r="C24" s="16" t="s">
        <v>1132</v>
      </c>
      <c r="D24" s="511"/>
      <c r="E24" s="515">
        <v>0</v>
      </c>
      <c r="F24" s="480"/>
    </row>
    <row r="25" spans="2:8" ht="33.75" customHeight="1">
      <c r="B25" s="509" t="s">
        <v>11</v>
      </c>
      <c r="C25" s="16" t="s">
        <v>1133</v>
      </c>
      <c r="D25" s="511"/>
      <c r="E25" s="515">
        <v>10</v>
      </c>
      <c r="F25" s="480"/>
    </row>
    <row r="26" spans="2:8" ht="33.75" customHeight="1">
      <c r="B26" s="509" t="s">
        <v>12</v>
      </c>
      <c r="C26" s="16" t="s">
        <v>111</v>
      </c>
      <c r="D26" s="511"/>
      <c r="E26" s="515">
        <v>0</v>
      </c>
      <c r="F26" s="480"/>
    </row>
    <row r="27" spans="2:8" ht="33.75" customHeight="1">
      <c r="B27" s="516"/>
      <c r="C27" s="517" t="s">
        <v>123</v>
      </c>
      <c r="D27" s="518"/>
      <c r="E27" s="519">
        <f>SUM(E20:E26)</f>
        <v>1260.4000000000001</v>
      </c>
      <c r="F27" s="480"/>
    </row>
    <row r="28" spans="2:8" ht="33.75" customHeight="1">
      <c r="B28" s="520"/>
      <c r="C28" s="506" t="s">
        <v>124</v>
      </c>
      <c r="D28" s="521"/>
      <c r="E28" s="522"/>
      <c r="F28" s="480"/>
    </row>
    <row r="29" spans="2:8" ht="33.75" customHeight="1">
      <c r="B29" s="509" t="s">
        <v>6</v>
      </c>
      <c r="C29" s="510" t="s">
        <v>125</v>
      </c>
      <c r="D29" s="511">
        <v>0.2</v>
      </c>
      <c r="E29" s="512">
        <f>D29*E$13</f>
        <v>1010.7200000000001</v>
      </c>
      <c r="F29" s="480"/>
    </row>
    <row r="30" spans="2:8" ht="51.75" customHeight="1">
      <c r="B30" s="509" t="s">
        <v>7</v>
      </c>
      <c r="C30" s="510" t="s">
        <v>1134</v>
      </c>
      <c r="D30" s="523">
        <v>1.4999999999999999E-2</v>
      </c>
      <c r="E30" s="512">
        <f t="shared" ref="E30:E36" si="0">D30*E$13</f>
        <v>75.804000000000002</v>
      </c>
      <c r="F30" s="480"/>
    </row>
    <row r="31" spans="2:8" ht="51" customHeight="1">
      <c r="B31" s="509" t="s">
        <v>8</v>
      </c>
      <c r="C31" s="524" t="s">
        <v>196</v>
      </c>
      <c r="D31" s="523">
        <v>0.01</v>
      </c>
      <c r="E31" s="512">
        <f t="shared" si="0"/>
        <v>50.536000000000001</v>
      </c>
      <c r="F31" s="480"/>
    </row>
    <row r="32" spans="2:8" ht="33.75" customHeight="1">
      <c r="B32" s="509" t="s">
        <v>9</v>
      </c>
      <c r="C32" s="510" t="s">
        <v>126</v>
      </c>
      <c r="D32" s="523">
        <v>2E-3</v>
      </c>
      <c r="E32" s="512">
        <f t="shared" si="0"/>
        <v>10.107200000000001</v>
      </c>
      <c r="F32" s="480"/>
    </row>
    <row r="33" spans="2:6" ht="33.75" customHeight="1">
      <c r="B33" s="509" t="s">
        <v>10</v>
      </c>
      <c r="C33" s="510" t="s">
        <v>127</v>
      </c>
      <c r="D33" s="523">
        <v>2.5000000000000001E-2</v>
      </c>
      <c r="E33" s="512">
        <f t="shared" si="0"/>
        <v>126.34000000000002</v>
      </c>
      <c r="F33" s="480"/>
    </row>
    <row r="34" spans="2:6" ht="33.75" customHeight="1">
      <c r="B34" s="525" t="s">
        <v>11</v>
      </c>
      <c r="C34" s="526" t="s">
        <v>128</v>
      </c>
      <c r="D34" s="527">
        <v>0.08</v>
      </c>
      <c r="E34" s="512">
        <f t="shared" si="0"/>
        <v>404.28800000000001</v>
      </c>
      <c r="F34" s="480"/>
    </row>
    <row r="35" spans="2:6" ht="33.75" customHeight="1">
      <c r="B35" s="509" t="s">
        <v>12</v>
      </c>
      <c r="C35" s="510" t="s">
        <v>197</v>
      </c>
      <c r="D35" s="523">
        <f>1%*1</f>
        <v>0.01</v>
      </c>
      <c r="E35" s="512">
        <f t="shared" si="0"/>
        <v>50.536000000000001</v>
      </c>
      <c r="F35" s="480"/>
    </row>
    <row r="36" spans="2:6" ht="33.75" customHeight="1">
      <c r="B36" s="509" t="s">
        <v>13</v>
      </c>
      <c r="C36" s="510" t="s">
        <v>129</v>
      </c>
      <c r="D36" s="527">
        <v>6.0000000000000001E-3</v>
      </c>
      <c r="E36" s="512">
        <f t="shared" si="0"/>
        <v>30.321600000000004</v>
      </c>
      <c r="F36" s="480"/>
    </row>
    <row r="37" spans="2:6" ht="33.75" customHeight="1">
      <c r="B37" s="528"/>
      <c r="C37" s="517" t="s">
        <v>130</v>
      </c>
      <c r="D37" s="518">
        <f>SUM(D29:D36)</f>
        <v>0.34800000000000009</v>
      </c>
      <c r="E37" s="519">
        <f>SUM(E29:E36)</f>
        <v>1758.6528000000001</v>
      </c>
      <c r="F37" s="480"/>
    </row>
    <row r="38" spans="2:6" ht="33.75" customHeight="1">
      <c r="B38" s="520"/>
      <c r="C38" s="506" t="s">
        <v>131</v>
      </c>
      <c r="D38" s="521"/>
      <c r="E38" s="529"/>
      <c r="F38" s="480"/>
    </row>
    <row r="39" spans="2:6" ht="33.75" customHeight="1">
      <c r="B39" s="488" t="s">
        <v>6</v>
      </c>
      <c r="C39" s="530" t="s">
        <v>76</v>
      </c>
      <c r="D39" s="490">
        <f>1/12</f>
        <v>8.3333333333333329E-2</v>
      </c>
      <c r="E39" s="492">
        <f>D39*E$13</f>
        <v>421.13333333333333</v>
      </c>
      <c r="F39" s="480"/>
    </row>
    <row r="40" spans="2:6" ht="33.75" customHeight="1" thickBot="1">
      <c r="B40" s="531" t="s">
        <v>7</v>
      </c>
      <c r="C40" s="532" t="s">
        <v>77</v>
      </c>
      <c r="D40" s="533">
        <f>1/3*1/12</f>
        <v>2.7777777777777776E-2</v>
      </c>
      <c r="E40" s="492">
        <f>D40*E$13</f>
        <v>140.37777777777779</v>
      </c>
      <c r="F40" s="480"/>
    </row>
    <row r="41" spans="2:6" ht="33.75" customHeight="1" thickBot="1">
      <c r="B41" s="534" t="s">
        <v>8</v>
      </c>
      <c r="C41" s="535" t="s">
        <v>132</v>
      </c>
      <c r="D41" s="536">
        <f>D37*(D39+D40)</f>
        <v>3.8666666666666676E-2</v>
      </c>
      <c r="E41" s="537">
        <f>D41*E$13</f>
        <v>195.40586666666672</v>
      </c>
      <c r="F41" s="480"/>
    </row>
    <row r="42" spans="2:6" ht="33.75" customHeight="1">
      <c r="B42" s="80" t="s">
        <v>9</v>
      </c>
      <c r="C42" s="81" t="s">
        <v>133</v>
      </c>
      <c r="D42" s="82">
        <f>8/100*40/100*(D39+D40)</f>
        <v>3.5555555555555553E-3</v>
      </c>
      <c r="E42" s="538">
        <f>D42*E$13</f>
        <v>17.968355555555554</v>
      </c>
      <c r="F42" s="480"/>
    </row>
    <row r="43" spans="2:6" ht="31.5" customHeight="1">
      <c r="B43" s="528"/>
      <c r="C43" s="517" t="s">
        <v>134</v>
      </c>
      <c r="D43" s="518">
        <f>SUM(D39:D42)</f>
        <v>0.15333333333333335</v>
      </c>
      <c r="E43" s="519">
        <f>SUM(E39:E42)</f>
        <v>774.88533333333351</v>
      </c>
      <c r="F43" s="480"/>
    </row>
    <row r="44" spans="2:6" ht="33.75" customHeight="1">
      <c r="B44" s="528"/>
      <c r="C44" s="516" t="s">
        <v>135</v>
      </c>
      <c r="D44" s="521"/>
      <c r="E44" s="522"/>
      <c r="F44" s="480"/>
    </row>
    <row r="45" spans="2:6" ht="33.75" customHeight="1" thickBot="1">
      <c r="B45" s="539" t="s">
        <v>6</v>
      </c>
      <c r="C45" s="540" t="s">
        <v>136</v>
      </c>
      <c r="D45" s="541">
        <f>(1+1/3)/12*2/100*4/12</f>
        <v>7.407407407407407E-4</v>
      </c>
      <c r="E45" s="542">
        <f>D45*E$13</f>
        <v>3.7434074074074073</v>
      </c>
      <c r="F45" s="480"/>
    </row>
    <row r="46" spans="2:6" ht="33" customHeight="1" thickBot="1">
      <c r="B46" s="543" t="s">
        <v>7</v>
      </c>
      <c r="C46" s="544" t="s">
        <v>137</v>
      </c>
      <c r="D46" s="545">
        <f>D37*D45</f>
        <v>2.5777777777777783E-4</v>
      </c>
      <c r="E46" s="546">
        <f>D46*E$13</f>
        <v>1.3027057777777782</v>
      </c>
      <c r="F46" s="480"/>
    </row>
    <row r="47" spans="2:6" ht="34.5" customHeight="1">
      <c r="B47" s="547"/>
      <c r="C47" s="548" t="s">
        <v>138</v>
      </c>
      <c r="D47" s="549">
        <f>SUM(D45:D46)</f>
        <v>9.9851851851851859E-4</v>
      </c>
      <c r="E47" s="550">
        <f>E45+E46</f>
        <v>5.0461131851851855</v>
      </c>
      <c r="F47" s="480"/>
    </row>
    <row r="48" spans="2:6" ht="39.75" customHeight="1">
      <c r="B48" s="484">
        <v>2</v>
      </c>
      <c r="C48" s="503" t="s">
        <v>139</v>
      </c>
      <c r="D48" s="504"/>
      <c r="E48" s="505">
        <f>E27+E37+E43+E47</f>
        <v>3798.9842465185193</v>
      </c>
      <c r="F48" s="480"/>
    </row>
    <row r="49" spans="2:6" ht="33" customHeight="1">
      <c r="B49" s="484">
        <v>3</v>
      </c>
      <c r="C49" s="485" t="s">
        <v>140</v>
      </c>
      <c r="D49" s="486"/>
      <c r="E49" s="487"/>
      <c r="F49" s="480"/>
    </row>
    <row r="50" spans="2:6" ht="39" customHeight="1">
      <c r="B50" s="531" t="s">
        <v>6</v>
      </c>
      <c r="C50" s="532" t="s">
        <v>78</v>
      </c>
      <c r="D50" s="533">
        <f>1/12*3.5/100</f>
        <v>2.9166666666666664E-3</v>
      </c>
      <c r="E50" s="551">
        <f>D50*E$13</f>
        <v>14.739666666666666</v>
      </c>
      <c r="F50" s="480"/>
    </row>
    <row r="51" spans="2:6" ht="39" customHeight="1" thickBot="1">
      <c r="B51" s="552" t="s">
        <v>7</v>
      </c>
      <c r="C51" s="553" t="s">
        <v>1135</v>
      </c>
      <c r="D51" s="533">
        <f>1/12*3.5/100*(1/12+(1+1/3)/12)</f>
        <v>5.6712962962962945E-4</v>
      </c>
      <c r="E51" s="551">
        <f>D51*E$13</f>
        <v>2.8660462962962958</v>
      </c>
      <c r="F51" s="480"/>
    </row>
    <row r="52" spans="2:6" ht="35.25" customHeight="1" thickBot="1">
      <c r="B52" s="534" t="s">
        <v>8</v>
      </c>
      <c r="C52" s="554" t="s">
        <v>205</v>
      </c>
      <c r="D52" s="555">
        <f>(D37-D34)*1/12*3.5/100*1/12</f>
        <v>6.5138888888888912E-5</v>
      </c>
      <c r="E52" s="537">
        <f>D52*E$13</f>
        <v>0.32918588888888906</v>
      </c>
      <c r="F52" s="480"/>
    </row>
    <row r="53" spans="2:6" ht="31.5" customHeight="1">
      <c r="B53" s="556" t="s">
        <v>9</v>
      </c>
      <c r="C53" s="557" t="s">
        <v>204</v>
      </c>
      <c r="D53" s="558">
        <f>8/100*(D50+D51)</f>
        <v>2.7870370370370364E-4</v>
      </c>
      <c r="E53" s="538">
        <f>D53*E$13</f>
        <v>1.4084570370370368</v>
      </c>
      <c r="F53" s="480"/>
    </row>
    <row r="54" spans="2:6" ht="31.5" customHeight="1">
      <c r="B54" s="488" t="s">
        <v>10</v>
      </c>
      <c r="C54" s="489" t="s">
        <v>79</v>
      </c>
      <c r="D54" s="533">
        <f>8/100*40/100</f>
        <v>3.2000000000000001E-2</v>
      </c>
      <c r="E54" s="538">
        <f t="shared" ref="E54:E55" si="1">D54*E$13</f>
        <v>161.71520000000001</v>
      </c>
      <c r="F54" s="480"/>
    </row>
    <row r="55" spans="2:6" ht="29.25" customHeight="1">
      <c r="B55" s="509" t="s">
        <v>11</v>
      </c>
      <c r="C55" s="510" t="s">
        <v>80</v>
      </c>
      <c r="D55" s="533">
        <f>1/12*1/100</f>
        <v>8.3333333333333328E-4</v>
      </c>
      <c r="E55" s="538">
        <f t="shared" si="1"/>
        <v>4.2113333333333332</v>
      </c>
      <c r="F55" s="480"/>
    </row>
    <row r="56" spans="2:6" ht="32.25" customHeight="1">
      <c r="B56" s="484">
        <v>3</v>
      </c>
      <c r="C56" s="559" t="s">
        <v>141</v>
      </c>
      <c r="D56" s="560">
        <f>SUM(D50:D55)</f>
        <v>3.666097222222222E-2</v>
      </c>
      <c r="E56" s="561">
        <f>SUM(E50:E55)</f>
        <v>185.26988922222222</v>
      </c>
      <c r="F56" s="480"/>
    </row>
    <row r="57" spans="2:6" ht="33" customHeight="1">
      <c r="B57" s="484">
        <v>4</v>
      </c>
      <c r="C57" s="485" t="s">
        <v>142</v>
      </c>
      <c r="D57" s="486"/>
      <c r="E57" s="487"/>
      <c r="F57" s="480"/>
    </row>
    <row r="58" spans="2:6" ht="33" customHeight="1">
      <c r="B58" s="509" t="s">
        <v>6</v>
      </c>
      <c r="C58" s="553" t="s">
        <v>81</v>
      </c>
      <c r="D58" s="511">
        <f>1/12</f>
        <v>8.3333333333333329E-2</v>
      </c>
      <c r="E58" s="512">
        <f>D58*E$13</f>
        <v>421.13333333333333</v>
      </c>
      <c r="F58" s="480"/>
    </row>
    <row r="59" spans="2:6" ht="30.75" customHeight="1">
      <c r="B59" s="509" t="s">
        <v>7</v>
      </c>
      <c r="C59" s="562" t="s">
        <v>143</v>
      </c>
      <c r="D59" s="511">
        <f>5/30*1/12*1.5/100</f>
        <v>2.0833333333333332E-4</v>
      </c>
      <c r="E59" s="512">
        <f t="shared" ref="E59:E61" si="2">D59*E$13</f>
        <v>1.0528333333333333</v>
      </c>
      <c r="F59" s="480"/>
    </row>
    <row r="60" spans="2:6" ht="35.25" customHeight="1">
      <c r="B60" s="509" t="s">
        <v>8</v>
      </c>
      <c r="C60" s="562" t="s">
        <v>144</v>
      </c>
      <c r="D60" s="511">
        <f>1/30*1/12</f>
        <v>2.7777777777777779E-3</v>
      </c>
      <c r="E60" s="512">
        <f t="shared" si="2"/>
        <v>14.03777777777778</v>
      </c>
      <c r="F60" s="480"/>
    </row>
    <row r="61" spans="2:6" ht="29.25" customHeight="1" thickBot="1">
      <c r="B61" s="539" t="s">
        <v>9</v>
      </c>
      <c r="C61" s="563" t="s">
        <v>83</v>
      </c>
      <c r="D61" s="541">
        <f>7/30*1/12*5/100</f>
        <v>9.7222222222222219E-4</v>
      </c>
      <c r="E61" s="512">
        <f t="shared" si="2"/>
        <v>4.9132222222222222</v>
      </c>
      <c r="F61" s="564"/>
    </row>
    <row r="62" spans="2:6" ht="36" customHeight="1" thickBot="1">
      <c r="B62" s="543" t="s">
        <v>10</v>
      </c>
      <c r="C62" s="565" t="s">
        <v>191</v>
      </c>
      <c r="D62" s="536">
        <f>D37*SUM(D58:D61)</f>
        <v>3.0377500000000009E-2</v>
      </c>
      <c r="E62" s="546">
        <f>D62*E$13</f>
        <v>153.51573400000007</v>
      </c>
      <c r="F62" s="480"/>
    </row>
    <row r="63" spans="2:6" ht="39" customHeight="1">
      <c r="B63" s="566" t="s">
        <v>11</v>
      </c>
      <c r="C63" s="567" t="s">
        <v>198</v>
      </c>
      <c r="D63" s="568">
        <f>4.14/30*1/12</f>
        <v>1.1499999999999998E-2</v>
      </c>
      <c r="E63" s="569">
        <f>D63*E$13</f>
        <v>58.116399999999992</v>
      </c>
      <c r="F63" s="570"/>
    </row>
    <row r="64" spans="2:6" ht="38.25" customHeight="1" thickBot="1">
      <c r="B64" s="539" t="s">
        <v>12</v>
      </c>
      <c r="C64" s="571" t="s">
        <v>193</v>
      </c>
      <c r="D64" s="541">
        <f>15/30*1/12*8/100</f>
        <v>3.3333333333333331E-3</v>
      </c>
      <c r="E64" s="542">
        <f>D64*E$13</f>
        <v>16.845333333333333</v>
      </c>
      <c r="F64" s="480"/>
    </row>
    <row r="65" spans="2:8" ht="37.5" customHeight="1" thickBot="1">
      <c r="B65" s="543" t="s">
        <v>13</v>
      </c>
      <c r="C65" s="565" t="s">
        <v>199</v>
      </c>
      <c r="D65" s="545">
        <f>(D43+D47+D56)*(D58+D59+D60+D61+D63+D64)</f>
        <v>1.9505142158564814E-2</v>
      </c>
      <c r="E65" s="546">
        <f>D65*E$13</f>
        <v>98.571186412523147</v>
      </c>
      <c r="F65" s="480"/>
    </row>
    <row r="66" spans="2:8" ht="36" customHeight="1">
      <c r="B66" s="572">
        <v>4</v>
      </c>
      <c r="C66" s="573" t="s">
        <v>145</v>
      </c>
      <c r="D66" s="574">
        <f>SUM(D58:D65)</f>
        <v>0.15200764215856483</v>
      </c>
      <c r="E66" s="575">
        <f>SUM(E58:E65)</f>
        <v>768.18582041252319</v>
      </c>
      <c r="F66" s="480"/>
    </row>
    <row r="67" spans="2:8" ht="36" customHeight="1">
      <c r="B67" s="887" t="s">
        <v>200</v>
      </c>
      <c r="C67" s="888"/>
      <c r="D67" s="576">
        <f>D37+D43+D47+D56+D66</f>
        <v>0.691000466232639</v>
      </c>
      <c r="E67" s="577">
        <f>E37+E43+E47+E56+E66</f>
        <v>3492.0399561532645</v>
      </c>
      <c r="F67" s="480"/>
      <c r="H67" s="578">
        <f>D67*E13</f>
        <v>3492.0399561532645</v>
      </c>
    </row>
    <row r="68" spans="2:8" ht="36.75" customHeight="1">
      <c r="B68" s="484">
        <v>5</v>
      </c>
      <c r="C68" s="485" t="s">
        <v>146</v>
      </c>
      <c r="D68" s="486"/>
      <c r="E68" s="487"/>
      <c r="F68" s="480"/>
    </row>
    <row r="69" spans="2:8" ht="32.25" customHeight="1">
      <c r="B69" s="509" t="s">
        <v>6</v>
      </c>
      <c r="C69" s="510" t="s">
        <v>71</v>
      </c>
      <c r="D69" s="511"/>
      <c r="E69" s="17">
        <f>Custo_Direito_Uniforme!S12</f>
        <v>113.25</v>
      </c>
      <c r="F69" s="480"/>
    </row>
    <row r="70" spans="2:8" ht="28.5" customHeight="1">
      <c r="B70" s="509" t="s">
        <v>7</v>
      </c>
      <c r="C70" s="510" t="s">
        <v>147</v>
      </c>
      <c r="D70" s="579"/>
      <c r="E70" s="580"/>
      <c r="F70" s="480"/>
    </row>
    <row r="71" spans="2:8" ht="30" customHeight="1">
      <c r="B71" s="509" t="s">
        <v>8</v>
      </c>
      <c r="C71" s="510" t="s">
        <v>148</v>
      </c>
      <c r="D71" s="579"/>
      <c r="E71" s="512"/>
      <c r="F71" s="480"/>
    </row>
    <row r="72" spans="2:8" ht="32.25" customHeight="1">
      <c r="B72" s="484">
        <v>5</v>
      </c>
      <c r="C72" s="503" t="s">
        <v>149</v>
      </c>
      <c r="D72" s="504"/>
      <c r="E72" s="83">
        <f>SUM(E69:E71)</f>
        <v>113.25</v>
      </c>
      <c r="F72" s="480"/>
    </row>
    <row r="73" spans="2:8" ht="33" customHeight="1">
      <c r="B73" s="889" t="s">
        <v>1163</v>
      </c>
      <c r="C73" s="890"/>
      <c r="D73" s="581"/>
      <c r="E73" s="582">
        <f>ROUND((E17+E48+E56+E66+E72),2)</f>
        <v>9919.2900000000009</v>
      </c>
      <c r="F73" s="480"/>
      <c r="H73" s="578">
        <f>ROUND((E72+H67+E17+E27),2)</f>
        <v>9919.2900000000009</v>
      </c>
    </row>
    <row r="74" spans="2:8" ht="33" customHeight="1">
      <c r="B74" s="583" t="s">
        <v>1136</v>
      </c>
      <c r="C74" s="584"/>
      <c r="D74" s="584"/>
      <c r="E74" s="585"/>
      <c r="F74" s="480"/>
    </row>
    <row r="75" spans="2:8" ht="39" customHeight="1">
      <c r="B75" s="586" t="s">
        <v>1137</v>
      </c>
      <c r="C75" s="880" t="s">
        <v>707</v>
      </c>
      <c r="D75" s="880"/>
      <c r="E75" s="880"/>
      <c r="F75" s="480"/>
    </row>
    <row r="76" spans="2:8" ht="68.25" customHeight="1">
      <c r="B76" s="586" t="s">
        <v>1138</v>
      </c>
      <c r="C76" s="878" t="s">
        <v>1142</v>
      </c>
      <c r="D76" s="878"/>
      <c r="E76" s="878"/>
      <c r="F76" s="480"/>
    </row>
    <row r="77" spans="2:8" ht="74.25" customHeight="1">
      <c r="B77" s="586" t="s">
        <v>1139</v>
      </c>
      <c r="C77" s="878" t="s">
        <v>1203</v>
      </c>
      <c r="D77" s="878"/>
      <c r="E77" s="878"/>
      <c r="F77" s="480"/>
    </row>
    <row r="78" spans="2:8" ht="69.75" customHeight="1">
      <c r="B78" s="586" t="s">
        <v>1140</v>
      </c>
      <c r="C78" s="878" t="s">
        <v>1149</v>
      </c>
      <c r="D78" s="878"/>
      <c r="E78" s="878"/>
      <c r="F78" s="480"/>
    </row>
    <row r="79" spans="2:8" ht="67.5" customHeight="1">
      <c r="B79" s="586" t="s">
        <v>1145</v>
      </c>
      <c r="C79" s="878" t="s">
        <v>1146</v>
      </c>
      <c r="D79" s="878"/>
      <c r="E79" s="878"/>
      <c r="F79" s="480"/>
    </row>
    <row r="80" spans="2:8" ht="67.5" customHeight="1">
      <c r="B80" s="586" t="s">
        <v>1148</v>
      </c>
      <c r="C80" s="878" t="s">
        <v>1147</v>
      </c>
      <c r="D80" s="878"/>
      <c r="E80" s="878"/>
      <c r="F80" s="480"/>
    </row>
    <row r="81" spans="2:6" ht="63.75" customHeight="1">
      <c r="B81" s="586" t="s">
        <v>1151</v>
      </c>
      <c r="C81" s="879" t="s">
        <v>1150</v>
      </c>
      <c r="D81" s="879"/>
      <c r="E81" s="879"/>
      <c r="F81" s="480"/>
    </row>
    <row r="82" spans="2:6" ht="65.25" customHeight="1">
      <c r="B82" s="586" t="s">
        <v>1152</v>
      </c>
      <c r="C82" s="878" t="s">
        <v>1153</v>
      </c>
      <c r="D82" s="878"/>
      <c r="E82" s="878"/>
      <c r="F82" s="480"/>
    </row>
    <row r="83" spans="2:6" ht="68.25" customHeight="1">
      <c r="B83" s="586" t="s">
        <v>1154</v>
      </c>
      <c r="C83" s="878" t="s">
        <v>1162</v>
      </c>
      <c r="D83" s="878"/>
      <c r="E83" s="878"/>
    </row>
  </sheetData>
  <mergeCells count="14">
    <mergeCell ref="C82:E82"/>
    <mergeCell ref="C83:E83"/>
    <mergeCell ref="C76:E76"/>
    <mergeCell ref="C77:E77"/>
    <mergeCell ref="C78:E78"/>
    <mergeCell ref="C79:E79"/>
    <mergeCell ref="C80:E80"/>
    <mergeCell ref="C81:E81"/>
    <mergeCell ref="C75:E75"/>
    <mergeCell ref="B2:E2"/>
    <mergeCell ref="B3:E3"/>
    <mergeCell ref="B13:C13"/>
    <mergeCell ref="B67:C67"/>
    <mergeCell ref="B73:C73"/>
  </mergeCells>
  <printOptions horizontalCentered="1" verticalCentered="1"/>
  <pageMargins left="0.39370078740157483" right="0.39370078740157483" top="0.39370078740157483" bottom="0.39370078740157483" header="0" footer="0"/>
  <pageSetup paperSize="9" scale="30" orientation="portrait" r:id="rId1"/>
  <colBreaks count="1" manualBreakCount="1">
    <brk id="5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612EC-53AA-4AB5-AC24-A8D5A4C343D4}">
  <sheetPr>
    <tabColor theme="9"/>
  </sheetPr>
  <dimension ref="B2:N13"/>
  <sheetViews>
    <sheetView showGridLines="0" workbookViewId="0">
      <selection activeCell="H20" sqref="H20"/>
    </sheetView>
  </sheetViews>
  <sheetFormatPr defaultColWidth="11.42578125" defaultRowHeight="12.75"/>
  <cols>
    <col min="1" max="1" width="11.42578125" style="1"/>
    <col min="2" max="2" width="56.28515625" style="1" customWidth="1"/>
    <col min="3" max="7" width="11.42578125" style="1"/>
    <col min="8" max="8" width="12.28515625" style="1" bestFit="1" customWidth="1"/>
    <col min="9" max="13" width="11.42578125" style="1"/>
    <col min="14" max="14" width="13.5703125" style="1" customWidth="1"/>
    <col min="15" max="16384" width="11.42578125" style="1"/>
  </cols>
  <sheetData>
    <row r="2" spans="2:14" ht="23.25" customHeight="1">
      <c r="B2" s="898" t="s">
        <v>676</v>
      </c>
      <c r="C2" s="899"/>
      <c r="D2" s="899"/>
      <c r="E2" s="899"/>
      <c r="F2" s="899"/>
      <c r="G2" s="899"/>
      <c r="H2" s="899"/>
      <c r="I2" s="899"/>
      <c r="J2" s="899"/>
      <c r="K2" s="899"/>
      <c r="L2" s="899"/>
      <c r="M2" s="899"/>
      <c r="N2" s="899"/>
    </row>
    <row r="3" spans="2:14" ht="21.75" customHeight="1">
      <c r="B3" s="898"/>
      <c r="C3" s="900" t="s">
        <v>675</v>
      </c>
      <c r="D3" s="900"/>
      <c r="E3" s="900"/>
      <c r="F3" s="900"/>
      <c r="G3" s="900"/>
      <c r="H3" s="900"/>
      <c r="I3" s="900" t="s">
        <v>1181</v>
      </c>
      <c r="J3" s="900"/>
      <c r="K3" s="900"/>
      <c r="L3" s="900"/>
      <c r="M3" s="900"/>
      <c r="N3" s="900"/>
    </row>
    <row r="4" spans="2:14" ht="22.5" customHeight="1">
      <c r="B4" s="378" t="s">
        <v>677</v>
      </c>
      <c r="C4" s="901">
        <f>Enfermeiro_2025!E6</f>
        <v>4750</v>
      </c>
      <c r="D4" s="902"/>
      <c r="E4" s="902"/>
      <c r="F4" s="902"/>
      <c r="G4" s="902"/>
      <c r="H4" s="903"/>
      <c r="I4" s="901">
        <f>'Enfermeiro_Sob Demanda'!E6</f>
        <v>4750</v>
      </c>
      <c r="J4" s="902"/>
      <c r="K4" s="902"/>
      <c r="L4" s="902"/>
      <c r="M4" s="902"/>
      <c r="N4" s="903"/>
    </row>
    <row r="5" spans="2:14" ht="45">
      <c r="B5" s="891" t="s">
        <v>678</v>
      </c>
      <c r="C5" s="379" t="s">
        <v>679</v>
      </c>
      <c r="D5" s="379" t="s">
        <v>680</v>
      </c>
      <c r="E5" s="379" t="s">
        <v>681</v>
      </c>
      <c r="F5" s="379" t="s">
        <v>682</v>
      </c>
      <c r="G5" s="379" t="s">
        <v>683</v>
      </c>
      <c r="H5" s="380" t="s">
        <v>55</v>
      </c>
      <c r="I5" s="379" t="s">
        <v>679</v>
      </c>
      <c r="J5" s="379" t="s">
        <v>680</v>
      </c>
      <c r="K5" s="379" t="s">
        <v>681</v>
      </c>
      <c r="L5" s="379" t="s">
        <v>682</v>
      </c>
      <c r="M5" s="379" t="s">
        <v>683</v>
      </c>
      <c r="N5" s="380" t="s">
        <v>55</v>
      </c>
    </row>
    <row r="6" spans="2:14" ht="24" customHeight="1">
      <c r="B6" s="891"/>
      <c r="C6" s="381">
        <v>8.3299999999999999E-2</v>
      </c>
      <c r="D6" s="381">
        <v>0.1111</v>
      </c>
      <c r="E6" s="381">
        <v>0.04</v>
      </c>
      <c r="F6" s="381">
        <v>3.1699999999999999E-2</v>
      </c>
      <c r="G6" s="381">
        <v>4.2200000000000001E-2</v>
      </c>
      <c r="H6" s="381">
        <v>0.30830000000000002</v>
      </c>
      <c r="I6" s="381">
        <v>8.3299999999999999E-2</v>
      </c>
      <c r="J6" s="381">
        <v>0.1111</v>
      </c>
      <c r="K6" s="381">
        <v>0.04</v>
      </c>
      <c r="L6" s="381">
        <v>3.1699999999999999E-2</v>
      </c>
      <c r="M6" s="381">
        <v>4.2200000000000001E-2</v>
      </c>
      <c r="N6" s="381">
        <v>0.30830000000000002</v>
      </c>
    </row>
    <row r="7" spans="2:14" ht="24" customHeight="1">
      <c r="B7" s="382" t="s">
        <v>684</v>
      </c>
      <c r="C7" s="383">
        <f>ROUND(C6*$C4,2)</f>
        <v>395.68</v>
      </c>
      <c r="D7" s="383">
        <f t="shared" ref="D7:H7" si="0">ROUND(D6*$C4,2)</f>
        <v>527.73</v>
      </c>
      <c r="E7" s="383">
        <f t="shared" si="0"/>
        <v>190</v>
      </c>
      <c r="F7" s="383">
        <f>TRUNC(F6*$C4,2)</f>
        <v>150.57</v>
      </c>
      <c r="G7" s="383">
        <f t="shared" si="0"/>
        <v>200.45</v>
      </c>
      <c r="H7" s="383">
        <f t="shared" si="0"/>
        <v>1464.43</v>
      </c>
      <c r="I7" s="383">
        <f>ROUND(I6*$I4,2)</f>
        <v>395.68</v>
      </c>
      <c r="J7" s="383">
        <f>ROUND(J6*$I4,2)</f>
        <v>527.73</v>
      </c>
      <c r="K7" s="383">
        <f>ROUND(K6*$I4,2)</f>
        <v>190</v>
      </c>
      <c r="L7" s="383">
        <f>TRUNC(L6*$I4,2)</f>
        <v>150.57</v>
      </c>
      <c r="M7" s="383">
        <f>ROUND(M6*$I4,2)</f>
        <v>200.45</v>
      </c>
      <c r="N7" s="383">
        <f>ROUND(N6*$I4,2)</f>
        <v>1464.43</v>
      </c>
    </row>
    <row r="8" spans="2:14" ht="24" customHeight="1">
      <c r="B8" s="382" t="s">
        <v>685</v>
      </c>
      <c r="C8" s="892">
        <v>2</v>
      </c>
      <c r="D8" s="893"/>
      <c r="E8" s="893"/>
      <c r="F8" s="893"/>
      <c r="G8" s="893"/>
      <c r="H8" s="894"/>
      <c r="I8" s="892">
        <v>1</v>
      </c>
      <c r="J8" s="893"/>
      <c r="K8" s="893"/>
      <c r="L8" s="893"/>
      <c r="M8" s="893"/>
      <c r="N8" s="894"/>
    </row>
    <row r="9" spans="2:14" ht="36.75" customHeight="1">
      <c r="B9" s="418" t="s">
        <v>711</v>
      </c>
      <c r="C9" s="895">
        <f>H7*C8</f>
        <v>2928.86</v>
      </c>
      <c r="D9" s="896"/>
      <c r="E9" s="896"/>
      <c r="F9" s="896"/>
      <c r="G9" s="896"/>
      <c r="H9" s="897"/>
      <c r="I9" s="895">
        <f>I8*N7</f>
        <v>1464.43</v>
      </c>
      <c r="J9" s="896"/>
      <c r="K9" s="896"/>
      <c r="L9" s="896"/>
      <c r="M9" s="896"/>
      <c r="N9" s="897"/>
    </row>
    <row r="12" spans="2:14" ht="22.5" customHeight="1">
      <c r="B12" s="606" t="s">
        <v>608</v>
      </c>
      <c r="C12" s="599"/>
      <c r="D12" s="600"/>
      <c r="E12" s="600"/>
    </row>
    <row r="13" spans="2:14" ht="39" customHeight="1">
      <c r="B13" s="428">
        <v>1</v>
      </c>
      <c r="C13" s="615" t="s">
        <v>1202</v>
      </c>
      <c r="D13" s="616"/>
      <c r="E13" s="616"/>
      <c r="F13" s="616"/>
      <c r="G13" s="616"/>
      <c r="H13" s="616"/>
      <c r="I13" s="616"/>
      <c r="J13" s="616"/>
      <c r="K13" s="616"/>
      <c r="L13" s="616"/>
      <c r="M13" s="616"/>
      <c r="N13" s="862"/>
    </row>
  </sheetData>
  <mergeCells count="13">
    <mergeCell ref="C13:N13"/>
    <mergeCell ref="I2:N2"/>
    <mergeCell ref="I3:N3"/>
    <mergeCell ref="I4:N4"/>
    <mergeCell ref="I8:N8"/>
    <mergeCell ref="I9:N9"/>
    <mergeCell ref="B5:B6"/>
    <mergeCell ref="C8:H8"/>
    <mergeCell ref="C9:H9"/>
    <mergeCell ref="B2:B3"/>
    <mergeCell ref="C2:H2"/>
    <mergeCell ref="C3:H3"/>
    <mergeCell ref="C4:H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6d483d6-7cde-454f-9700-1dca77a67851" xsi:nil="true"/>
    <lcf76f155ced4ddcb4097134ff3c332f xmlns="5f1ce42f-c57e-4699-9768-bf8c2a02930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CA85EEB1003B445BFA9C09079EFAE82" ma:contentTypeVersion="18" ma:contentTypeDescription="Crie um novo documento." ma:contentTypeScope="" ma:versionID="ffa918ba1e81fc950e64380ec7923fe7">
  <xsd:schema xmlns:xsd="http://www.w3.org/2001/XMLSchema" xmlns:xs="http://www.w3.org/2001/XMLSchema" xmlns:p="http://schemas.microsoft.com/office/2006/metadata/properties" xmlns:ns2="5f1ce42f-c57e-4699-9768-bf8c2a029303" xmlns:ns3="a6d483d6-7cde-454f-9700-1dca77a67851" targetNamespace="http://schemas.microsoft.com/office/2006/metadata/properties" ma:root="true" ma:fieldsID="574c4a6da1f82a95f9b5e2bef60322b7" ns2:_="" ns3:_="">
    <xsd:import namespace="5f1ce42f-c57e-4699-9768-bf8c2a029303"/>
    <xsd:import namespace="a6d483d6-7cde-454f-9700-1dca77a678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1ce42f-c57e-4699-9768-bf8c2a0293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50763be7-2c5e-4ee0-a9d0-09b2389b87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d483d6-7cde-454f-9700-1dca77a6785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967a98b9-2c2f-46ca-85fb-e2f5dff28f76}" ma:internalName="TaxCatchAll" ma:showField="CatchAllData" ma:web="a6d483d6-7cde-454f-9700-1dca77a6785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68E79D-8FF0-452A-B734-A2D0CE549CF5}">
  <ds:schemaRefs>
    <ds:schemaRef ds:uri="http://schemas.microsoft.com/office/2006/metadata/properties"/>
    <ds:schemaRef ds:uri="http://schemas.microsoft.com/office/infopath/2007/PartnerControls"/>
    <ds:schemaRef ds:uri="a6d483d6-7cde-454f-9700-1dca77a67851"/>
    <ds:schemaRef ds:uri="5f1ce42f-c57e-4699-9768-bf8c2a029303"/>
  </ds:schemaRefs>
</ds:datastoreItem>
</file>

<file path=customXml/itemProps2.xml><?xml version="1.0" encoding="utf-8"?>
<ds:datastoreItem xmlns:ds="http://schemas.openxmlformats.org/officeDocument/2006/customXml" ds:itemID="{943ECCF0-AF1B-44F1-B454-E569FC4250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ECB014-BAE7-490B-A95F-71C93F3909D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18</vt:i4>
      </vt:variant>
      <vt:variant>
        <vt:lpstr>Intervalos Nomeados</vt:lpstr>
      </vt:variant>
      <vt:variant>
        <vt:i4>14</vt:i4>
      </vt:variant>
    </vt:vector>
  </HeadingPairs>
  <TitlesOfParts>
    <vt:vector size="32" baseType="lpstr">
      <vt:lpstr>Comparativo</vt:lpstr>
      <vt:lpstr>Descrição</vt:lpstr>
      <vt:lpstr>Linhas-Empresas-Tarifas</vt:lpstr>
      <vt:lpstr>Escala_enfermeiro_2025</vt:lpstr>
      <vt:lpstr>Encargos Sociais_2025</vt:lpstr>
      <vt:lpstr>Custo_Direito_Uniforme</vt:lpstr>
      <vt:lpstr>Enfermeiro_2025</vt:lpstr>
      <vt:lpstr>Enfermeiro_Sob Demanda</vt:lpstr>
      <vt:lpstr>Conta Vinculada</vt:lpstr>
      <vt:lpstr>RESUMO_Preços _2025</vt:lpstr>
      <vt:lpstr>RES_e_CA_Preços_Lucro_Presumido</vt:lpstr>
      <vt:lpstr>IMR</vt:lpstr>
      <vt:lpstr>PIS_E_Cofins_em_Branco </vt:lpstr>
      <vt:lpstr>Mod__Uniforme </vt:lpstr>
      <vt:lpstr>Mod_Enfermeiro</vt:lpstr>
      <vt:lpstr>Mod_Enfermeiro_Sob Demanda</vt:lpstr>
      <vt:lpstr>Mod_RESUMO_Preços _2025</vt:lpstr>
      <vt:lpstr>PIS e COFINS_conf</vt:lpstr>
      <vt:lpstr>Comparativo!Area_de_impressao</vt:lpstr>
      <vt:lpstr>Custo_Direito_Uniforme!Area_de_impressao</vt:lpstr>
      <vt:lpstr>'Encargos Sociais_2025'!Area_de_impressao</vt:lpstr>
      <vt:lpstr>Enfermeiro_2025!Area_de_impressao</vt:lpstr>
      <vt:lpstr>'Enfermeiro_Sob Demanda'!Area_de_impressao</vt:lpstr>
      <vt:lpstr>Escala_enfermeiro_2025!Area_de_impressao</vt:lpstr>
      <vt:lpstr>'Mod__Uniforme '!Area_de_impressao</vt:lpstr>
      <vt:lpstr>Mod_Enfermeiro!Area_de_impressao</vt:lpstr>
      <vt:lpstr>'Mod_Enfermeiro_Sob Demanda'!Area_de_impressao</vt:lpstr>
      <vt:lpstr>'Mod_RESUMO_Preços _2025'!Area_de_impressao</vt:lpstr>
      <vt:lpstr>'PIS e COFINS_conf'!Area_de_impressao</vt:lpstr>
      <vt:lpstr>'PIS_E_Cofins_em_Branco '!Area_de_impressao</vt:lpstr>
      <vt:lpstr>RES_e_CA_Preços_Lucro_Presumido!Area_de_impressao</vt:lpstr>
      <vt:lpstr>'RESUMO_Preços _2025'!Area_de_impressao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 e Dan</dc:creator>
  <cp:lastModifiedBy>Henrique Luciano Da Costa</cp:lastModifiedBy>
  <cp:lastPrinted>2025-07-04T17:34:21Z</cp:lastPrinted>
  <dcterms:created xsi:type="dcterms:W3CDTF">2017-06-27T19:28:23Z</dcterms:created>
  <dcterms:modified xsi:type="dcterms:W3CDTF">2025-08-05T18:27:29Z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0x010100ACA85EEB1003B445BFA9C09079EFAE82</vt:lpwstr>
  </property>
  <property fmtid="{D5CDD505-2E9C-101B-9397-08002B2CF9AE}" pid="3" name="MediaServiceImageTags">
    <vt:lpwstr/>
  </property>
</Properties>
</file>